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<sst xmlns="http://schemas.openxmlformats.org/spreadsheetml/2006/main" count="2893" uniqueCount="2084">
  <si>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</si>
  <si>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</si>
  <si>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</si>
  <si>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</si>
  <si>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</si>
  <si>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</si>
  <si>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</si>
  <si>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</si>
  <si>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</si>
  <si>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</si>
  <si>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</si>
  <si>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</si>
  <si>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</si>
  <si>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</si>
  <si>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</si>
  <si>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</si>
  <si>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</si>
  <si>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</si>
  <si>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</si>
  <si>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</si>
  <si>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</si>
  <si>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</si>
  <si>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</si>
  <si>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</si>
  <si>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</si>
  <si>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</si>
  <si>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</si>
  <si>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</si>
  <si>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</si>
  <si>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</si>
  <si>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</si>
  <si>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</si>
  <si>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</si>
  <si>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</si>
  <si>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</si>
  <si>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</si>
  <si>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</si>
  <si>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</si>
  <si>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</si>
  <si>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</si>
  <si>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</si>
  <si>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</si>
  <si>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</si>
  <si>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</si>
  <si>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</si>
  <si>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</si>
  <si>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</si>
  <si>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</si>
  <si>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</si>
  <si>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</si>
  <si>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</si>
  <si>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</si>
  <si>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</si>
  <si>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</si>
  <si>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</si>
  <si>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</si>
  <si>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</si>
  <si>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</si>
  <si>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</si>
  <si>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</si>
  <si>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</si>
  <si>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</si>
  <si>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</si>
  <si>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</si>
  <si>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</si>
  <si>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</si>
  <si>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</si>
  <si>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</si>
  <si>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</si>
  <si>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</si>
  <si>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</si>
  <si>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</si>
  <si>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</si>
  <si>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</si>
  <si>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</si>
  <si>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</si>
  <si>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</si>
  <si>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</si>
  <si>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</si>
  <si>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</si>
  <si>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</si>
  <si>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</si>
  <si>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</si>
  <si>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</si>
  <si>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</si>
  <si>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</si>
  <si>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</si>
  <si>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</si>
  <si>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</si>
  <si>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</si>
  <si>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</si>
  <si>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</si>
  <si>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</si>
  <si>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</si>
  <si>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</si>
  <si>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</si>
  <si>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</si>
  <si>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</si>
  <si>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</si>
  <si>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</si>
  <si>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</si>
  <si>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</si>
  <si>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</si>
  <si>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</si>
  <si>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</si>
  <si>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</si>
  <si>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</si>
  <si>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</si>
  <si>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</si>
  <si>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</si>
  <si>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</si>
  <si>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</si>
  <si>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</si>
  <si>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</si>
  <si>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</si>
  <si>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</si>
  <si>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</si>
  <si>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</si>
  <si>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</si>
  <si>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</si>
  <si>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</si>
  <si>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</si>
  <si>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</si>
  <si>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</si>
  <si>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</si>
  <si>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</si>
  <si>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</si>
  <si>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</si>
  <si>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</si>
  <si>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</si>
  <si>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</si>
  <si>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</si>
  <si>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</si>
  <si>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</si>
  <si>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</si>
  <si>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</si>
  <si>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</si>
  <si>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</si>
  <si>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</si>
  <si>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</si>
  <si>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</si>
  <si>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</si>
  <si>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</si>
  <si>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</si>
  <si>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</si>
  <si>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</si>
  <si>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</si>
  <si>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</si>
  <si>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</si>
  <si>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</si>
  <si>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</si>
  <si>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</si>
  <si>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</si>
  <si>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</si>
  <si>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</si>
  <si>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</si>
  <si>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</si>
  <si>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</si>
  <si>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</si>
  <si>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</si>
  <si>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</si>
  <si>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</si>
  <si>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</si>
  <si>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</si>
  <si>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</si>
  <si>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</si>
  <si>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</si>
  <si>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</si>
  <si>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</si>
  <si>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</si>
  <si>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</si>
  <si>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</si>
  <si>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</si>
  <si>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</si>
  <si>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</si>
  <si>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</si>
  <si>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</si>
  <si>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</si>
  <si>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</si>
  <si>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</si>
  <si>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</si>
  <si>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</si>
  <si>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</si>
  <si>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</si>
  <si>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</si>
  <si>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</si>
  <si>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</si>
  <si>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</si>
  <si>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</si>
  <si>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</si>
  <si>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</si>
  <si>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</si>
  <si>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</si>
  <si>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</si>
  <si>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</si>
  <si>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</si>
  <si>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</si>
  <si>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</si>
  <si>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</si>
  <si>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</si>
  <si>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</si>
  <si>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</si>
  <si>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</si>
  <si>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</si>
  <si>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</si>
  <si>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</si>
  <si>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</si>
  <si>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</si>
  <si>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</si>
  <si>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</si>
  <si>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</si>
  <si>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</si>
  <si>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</si>
  <si>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</si>
  <si>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</si>
  <si>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</si>
  <si>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</si>
  <si>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</si>
  <si>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</si>
  <si>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</si>
  <si>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</si>
  <si>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</si>
  <si>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</si>
  <si>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</si>
  <si>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</si>
  <si>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</si>
  <si>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</si>
  <si>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</si>
  <si>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</si>
  <si>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</si>
  <si>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</si>
  <si>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</si>
  <si>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</si>
  <si>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</si>
  <si>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</si>
  <si>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</si>
  <si>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</si>
  <si>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</si>
  <si>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</si>
  <si>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</si>
  <si>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</si>
  <si>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</si>
  <si>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</si>
  <si>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</si>
  <si>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</si>
  <si>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</si>
  <si>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</si>
  <si>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</si>
  <si>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</si>
  <si>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</si>
  <si>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</si>
  <si>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</si>
  <si>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</si>
  <si>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</si>
  <si>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</si>
  <si>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</si>
  <si>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</si>
  <si>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</si>
  <si>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</si>
  <si>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</si>
  <si>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</si>
  <si>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</si>
  <si>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</si>
  <si>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</si>
  <si>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</si>
  <si>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</si>
  <si>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</si>
  <si>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</si>
  <si>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</si>
  <si>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</si>
  <si>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</si>
  <si>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</si>
  <si>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</si>
  <si>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</si>
  <si>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</si>
  <si>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</si>
  <si>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</si>
  <si>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</si>
  <si>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</si>
  <si>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</si>
  <si>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</si>
  <si>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</si>
  <si>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</si>
  <si>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</si>
  <si>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</si>
  <si>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</si>
  <si>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</si>
  <si>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</si>
  <si>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</si>
  <si>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</si>
  <si>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</si>
  <si>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</si>
  <si>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</si>
  <si>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</si>
  <si>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</si>
  <si>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</si>
  <si>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</si>
  <si>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</si>
  <si>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</si>
  <si>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</si>
  <si>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</si>
  <si>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</si>
  <si>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</si>
  <si>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</si>
  <si>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</si>
  <si>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</si>
  <si>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</si>
  <si>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</si>
  <si>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</si>
  <si>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</si>
  <si>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</si>
  <si>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</si>
  <si>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</si>
  <si>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</si>
  <si>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</si>
  <si>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</si>
  <si>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</si>
  <si>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</si>
  <si>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</si>
  <si>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</si>
  <si>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</si>
  <si>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</si>
  <si>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</si>
  <si>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</si>
  <si>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</si>
  <si>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</si>
  <si>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</si>
  <si>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</si>
  <si>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</si>
  <si>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</si>
  <si>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</si>
  <si>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</si>
  <si>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</si>
  <si>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</si>
  <si>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</si>
  <si>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</si>
  <si>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</si>
  <si>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</si>
  <si>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</si>
  <si>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</si>
  <si>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</si>
  <si>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</si>
  <si>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</si>
  <si>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</si>
  <si>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</si>
  <si>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</si>
  <si>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</si>
  <si>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</si>
  <si>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</si>
  <si>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</si>
  <si>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</si>
  <si>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</si>
  <si>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</si>
  <si>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</si>
  <si>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</si>
  <si>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</si>
  <si>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</si>
  <si>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</si>
  <si>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</si>
  <si>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</si>
  <si>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</si>
  <si>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</si>
  <si>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</si>
  <si>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</si>
  <si>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</si>
  <si>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</si>
  <si>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</si>
  <si>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</si>
  <si>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</si>
  <si>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</si>
  <si>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</si>
  <si>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</si>
  <si>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</si>
  <si>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</si>
  <si>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</si>
  <si>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</si>
  <si>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</si>
  <si>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</si>
  <si>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</si>
  <si>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</si>
  <si>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</si>
  <si>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</si>
  <si>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</si>
  <si>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</si>
  <si>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</si>
  <si>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</si>
  <si>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</si>
  <si>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</si>
  <si>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</si>
  <si>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</si>
  <si>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</si>
  <si>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</si>
  <si>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</si>
  <si>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</si>
  <si>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</si>
  <si>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</si>
  <si>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</si>
  <si>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</si>
  <si>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</si>
  <si>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</si>
  <si>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</si>
  <si>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</si>
  <si>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</si>
  <si>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</si>
  <si>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</si>
  <si>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</si>
  <si>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</si>
  <si>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</si>
  <si>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</si>
  <si>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</si>
  <si>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</si>
  <si>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</si>
  <si>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</si>
  <si>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</si>
  <si>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</si>
  <si>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</si>
  <si>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</si>
  <si>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</si>
  <si>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</si>
  <si>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</si>
  <si>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</si>
  <si>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</si>
  <si>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</si>
  <si>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</si>
  <si>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</si>
  <si>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</si>
  <si>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</si>
  <si>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</si>
  <si>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</si>
  <si>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</si>
  <si>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</si>
  <si>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</si>
  <si>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</si>
  <si>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</si>
  <si>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</si>
  <si>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</si>
  <si>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</si>
  <si>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</si>
  <si>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</si>
  <si>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</si>
  <si>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</si>
  <si>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</si>
  <si>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</si>
  <si>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</si>
  <si>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</si>
  <si>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</si>
  <si>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</si>
  <si>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</si>
  <si>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</si>
  <si>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</si>
  <si>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</si>
  <si>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</si>
  <si>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</si>
  <si>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</si>
  <si>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</si>
  <si>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</si>
  <si>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</si>
  <si>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</si>
  <si>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</si>
  <si>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</si>
  <si>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</si>
  <si>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</si>
  <si>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</si>
  <si>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</si>
  <si>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</si>
  <si>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</si>
  <si>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</si>
  <si>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</si>
  <si>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</si>
  <si>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</si>
  <si>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</si>
  <si>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</si>
  <si>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</si>
  <si>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</si>
  <si>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</si>
  <si>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</si>
  <si>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</si>
  <si>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</si>
  <si>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</si>
  <si>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</si>
  <si>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</si>
  <si>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</si>
  <si>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</si>
  <si>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</si>
  <si>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</si>
  <si>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</si>
  <si>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</si>
  <si>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</si>
  <si>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</si>
  <si>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</si>
  <si>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</si>
  <si>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</si>
  <si>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</si>
  <si>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</si>
  <si>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</si>
  <si>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</si>
  <si>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</si>
  <si>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</si>
  <si>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</si>
  <si>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</si>
  <si>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</si>
  <si>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</si>
  <si>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</si>
  <si>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</si>
  <si>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</si>
  <si>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</si>
  <si>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</si>
  <si>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</si>
  <si>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</si>
  <si>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</si>
  <si>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</si>
  <si>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</si>
  <si>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</si>
  <si>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</si>
  <si>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</si>
  <si>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</si>
  <si>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</si>
  <si>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</si>
  <si>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</si>
  <si>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</si>
  <si>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</si>
  <si>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</si>
  <si>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</si>
  <si>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</si>
  <si>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</si>
  <si>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</si>
  <si>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</si>
  <si>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</si>
  <si>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</si>
  <si>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</si>
  <si>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</si>
  <si>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</si>
  <si>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</si>
  <si>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</si>
  <si>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</si>
  <si>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</si>
  <si>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</si>
  <si>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</si>
  <si>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</si>
  <si>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</si>
  <si>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</si>
  <si>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</si>
  <si>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</si>
  <si>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</si>
  <si>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</si>
  <si>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</si>
  <si>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</si>
  <si>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</si>
  <si>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</si>
  <si>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</si>
  <si>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</si>
  <si>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</si>
  <si>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</si>
  <si>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</si>
  <si>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</si>
  <si>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</si>
  <si>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</si>
  <si>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</si>
  <si>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</si>
  <si>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</si>
  <si>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</si>
  <si>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</si>
  <si>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</si>
  <si>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</si>
  <si>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</si>
  <si>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</si>
  <si>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</si>
  <si>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</si>
  <si>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</si>
  <si>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</si>
  <si>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</si>
  <si>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</si>
  <si>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</si>
  <si>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</si>
  <si>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</si>
  <si>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</si>
  <si>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</si>
  <si>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</si>
  <si>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</si>
  <si>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</si>
  <si>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</si>
  <si>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</si>
  <si>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</si>
  <si>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</si>
  <si>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</si>
  <si>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</si>
  <si>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</si>
  <si>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</si>
  <si>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</si>
  <si>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</si>
  <si>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</si>
  <si>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</si>
  <si>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</si>
  <si>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</si>
  <si>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</si>
  <si>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</si>
  <si>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</si>
  <si>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</si>
  <si>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</si>
  <si>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</si>
  <si>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</si>
  <si>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</si>
  <si>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</si>
  <si>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</si>
  <si>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</si>
  <si>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</si>
  <si>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</si>
  <si>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</si>
  <si>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</si>
  <si>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</si>
  <si>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</si>
  <si>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</si>
  <si>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</si>
  <si>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</si>
  <si>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</si>
  <si>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</si>
  <si>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</si>
  <si>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</si>
  <si>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</si>
  <si>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</si>
  <si>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</si>
  <si>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</si>
  <si>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</si>
  <si>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</si>
  <si>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</si>
  <si>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</si>
  <si>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</si>
  <si>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</si>
  <si>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</si>
  <si>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</si>
  <si>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</si>
  <si>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</si>
  <si>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</si>
  <si>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</si>
  <si>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</si>
  <si>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</si>
  <si>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</si>
  <si>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</si>
  <si>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</si>
  <si>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</si>
  <si>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</si>
  <si>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</si>
  <si>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</si>
  <si>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</si>
  <si>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</si>
  <si>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</si>
  <si>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</si>
  <si>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</si>
  <si>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</si>
  <si>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</si>
  <si>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</si>
  <si>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</si>
  <si>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</si>
  <si>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</si>
  <si>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</si>
  <si>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</si>
  <si>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</si>
  <si>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</si>
  <si>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</si>
  <si>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</si>
  <si>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</si>
  <si>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</si>
  <si>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</si>
  <si>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</si>
  <si>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</si>
  <si>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</si>
  <si>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</si>
  <si>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</si>
  <si>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</si>
  <si>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</si>
  <si>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</si>
  <si>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</si>
  <si>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</si>
  <si>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</si>
  <si>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</si>
  <si>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</si>
  <si>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</si>
  <si>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</si>
  <si>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</si>
  <si>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</si>
  <si>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</si>
  <si>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</si>
  <si>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</si>
  <si>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</si>
  <si>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</si>
  <si>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</si>
  <si>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</si>
  <si>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</si>
  <si>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</si>
  <si>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</si>
  <si>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</si>
  <si>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</si>
  <si>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</si>
  <si>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</si>
  <si>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</si>
  <si>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</si>
  <si>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</si>
  <si>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</si>
  <si>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</si>
  <si>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</si>
  <si>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</si>
  <si>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</si>
  <si>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</si>
  <si>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</si>
  <si>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</si>
  <si>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</si>
  <si>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</si>
  <si>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</si>
  <si>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</si>
  <si>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</si>
  <si>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</si>
  <si>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</si>
  <si>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</si>
  <si>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</si>
  <si>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</si>
  <si>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</si>
  <si>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</si>
  <si>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</si>
  <si>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</si>
  <si>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</si>
  <si>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</si>
  <si>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</si>
  <si>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</si>
  <si>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</si>
  <si>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</si>
  <si>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</si>
  <si>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</si>
  <si>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</si>
  <si>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</si>
  <si>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</si>
  <si>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</si>
  <si>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</si>
  <si>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</si>
  <si>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</si>
  <si>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</si>
  <si>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</si>
  <si>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</si>
  <si>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</si>
  <si>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</si>
  <si>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</si>
  <si>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</si>
  <si>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</si>
  <si>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</si>
  <si>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</si>
  <si>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</si>
  <si>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</si>
  <si>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</si>
  <si>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</si>
  <si>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</si>
  <si>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</si>
  <si>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</si>
  <si>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</si>
  <si>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</si>
  <si>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</si>
  <si>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</si>
  <si>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</si>
  <si>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</si>
  <si>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</si>
  <si>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</si>
  <si>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</si>
  <si>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</si>
  <si>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</si>
  <si>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</si>
  <si>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</si>
  <si>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</si>
  <si>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</si>
  <si>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</si>
  <si>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</si>
  <si>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</si>
  <si>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</si>
  <si>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</si>
  <si>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</si>
  <si>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</si>
  <si>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</si>
  <si>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</si>
  <si>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</si>
  <si>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</si>
  <si>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</si>
  <si>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</si>
  <si>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</si>
  <si>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</si>
  <si>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</si>
  <si>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</si>
  <si>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</si>
  <si>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</si>
  <si>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</si>
  <si>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</si>
  <si>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</si>
  <si>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</si>
  <si>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</si>
  <si>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</si>
  <si>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</si>
  <si>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</si>
  <si>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</si>
  <si>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</si>
  <si>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</si>
  <si>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</si>
  <si>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</si>
  <si>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</si>
  <si>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</si>
  <si>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</si>
  <si>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</si>
  <si>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</si>
  <si>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</si>
  <si>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</si>
  <si>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</si>
  <si>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</si>
  <si>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</si>
  <si>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</si>
  <si>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</si>
  <si>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</si>
  <si>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</si>
  <si>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</si>
  <si>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</si>
  <si>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</si>
  <si>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</si>
  <si>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</si>
  <si>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</si>
  <si>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</si>
  <si>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</si>
  <si>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</si>
  <si>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</si>
  <si>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</si>
  <si>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</si>
  <si>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</si>
  <si>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</si>
  <si>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</si>
  <si>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</si>
  <si>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</si>
  <si>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</si>
  <si>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</si>
  <si>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</si>
  <si>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</si>
  <si>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</si>
  <si>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</si>
  <si>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</si>
  <si>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</si>
  <si>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</si>
  <si>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</si>
  <si>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</si>
  <si>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</si>
  <si>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</si>
  <si>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</si>
  <si>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</si>
  <si>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</si>
  <si>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</si>
  <si>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</si>
  <si>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</si>
  <si>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</si>
  <si>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</si>
  <si>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</si>
  <si>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</si>
  <si>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</si>
  <si>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</si>
  <si>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</si>
  <si>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</si>
  <si>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</si>
  <si>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</si>
  <si>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</si>
  <si>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</si>
  <si>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</si>
  <si>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</si>
  <si>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</si>
  <si>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</si>
  <si>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</si>
  <si>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</si>
  <si>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</si>
  <si>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</si>
  <si>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</si>
  <si>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</si>
  <si>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</si>
  <si>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</si>
  <si>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</si>
  <si>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</si>
  <si>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</si>
  <si>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</si>
  <si>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</si>
  <si>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</si>
  <si>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</si>
  <si>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</si>
  <si>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</si>
  <si>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</si>
  <si>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</si>
  <si>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</si>
  <si>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</si>
  <si>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</si>
  <si>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</si>
  <si>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</si>
  <si>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</si>
  <si>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</si>
  <si>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</si>
  <si>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</si>
  <si>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</si>
  <si>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</si>
  <si>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</si>
  <si>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</si>
  <si>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</si>
  <si>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</si>
  <si>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</si>
  <si>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</si>
  <si>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</si>
  <si>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</si>
  <si>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</si>
  <si>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</si>
  <si>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</si>
  <si>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</si>
  <si>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</si>
  <si>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</si>
  <si>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</si>
  <si>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</si>
  <si>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</si>
  <si>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</si>
  <si>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</si>
  <si>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</si>
  <si>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</si>
  <si>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</si>
  <si>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</si>
  <si>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</si>
  <si>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</si>
  <si>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</si>
  <si>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</si>
  <si>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</si>
  <si>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</si>
  <si>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</si>
  <si>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</si>
  <si>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</si>
  <si>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</si>
  <si>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</si>
  <si>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</si>
  <si>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</si>
  <si>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</si>
  <si>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</si>
  <si>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</si>
  <si>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</si>
  <si>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</si>
  <si>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</si>
  <si>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</si>
  <si>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</si>
  <si>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</si>
  <si>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</si>
  <si>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</si>
  <si>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</si>
  <si>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</si>
  <si>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</si>
  <si>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</si>
  <si>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</si>
  <si>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</si>
  <si>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</si>
  <si>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</si>
  <si>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</si>
  <si>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</si>
  <si>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</si>
  <si>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</si>
  <si>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</si>
  <si>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</si>
  <si>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</si>
  <si>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</si>
  <si>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</si>
  <si>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</si>
  <si>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</si>
  <si>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</si>
  <si>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</si>
  <si>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</si>
  <si>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</si>
  <si>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</si>
  <si>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</si>
  <si>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</si>
  <si>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</si>
  <si>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</si>
  <si>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</si>
  <si>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</si>
  <si>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</si>
  <si>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</si>
  <si>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</si>
  <si>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</si>
  <si>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</si>
  <si>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</si>
  <si>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</si>
  <si>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</si>
  <si>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</si>
  <si>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</si>
  <si>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</si>
  <si>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</si>
  <si>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</si>
  <si>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</si>
  <si>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</si>
  <si>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</si>
  <si>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</si>
  <si>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</si>
  <si>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</si>
  <si>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</si>
  <si>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</si>
  <si>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</si>
  <si>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</si>
  <si>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</si>
  <si>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</si>
  <si>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</si>
  <si>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</si>
  <si>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</si>
  <si>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</si>
  <si>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</si>
  <si>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</si>
  <si>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</si>
  <si>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</si>
  <si>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</si>
  <si>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</si>
  <si>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</si>
  <si>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</si>
  <si>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</si>
  <si>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</si>
  <si>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</si>
  <si>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</si>
  <si>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</si>
  <si>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</si>
  <si>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</si>
  <si>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</si>
  <si>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</si>
  <si>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</si>
  <si>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</si>
  <si>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</si>
  <si>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</si>
  <si>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</si>
  <si>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</si>
  <si>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</si>
  <si>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</si>
  <si>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</si>
  <si>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</si>
  <si>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</si>
  <si>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</si>
  <si>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</si>
  <si>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</si>
  <si>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</si>
  <si>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</si>
  <si>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</si>
  <si>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</si>
  <si>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</si>
  <si>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</si>
  <si>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</si>
  <si>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</si>
  <si>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</si>
  <si>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</si>
  <si>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</si>
  <si>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</si>
  <si>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</si>
  <si>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</si>
  <si>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</si>
  <si>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</si>
  <si>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</si>
  <si>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</si>
  <si>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</si>
  <si>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</si>
  <si>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</si>
  <si>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</si>
  <si>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</si>
  <si>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</si>
  <si>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</si>
  <si>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</si>
  <si>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</si>
  <si>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</si>
  <si>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</si>
  <si>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</si>
  <si>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</si>
  <si>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</si>
  <si>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</si>
  <si>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</si>
  <si>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</si>
  <si>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</si>
  <si>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</si>
  <si>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</si>
  <si>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</si>
  <si>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</si>
  <si>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</si>
  <si>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</si>
  <si>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</si>
  <si>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</si>
  <si>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</si>
  <si>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</si>
  <si>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</si>
  <si>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</si>
  <si>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</si>
  <si>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</si>
  <si>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</si>
  <si>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</si>
  <si>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</si>
  <si>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</si>
  <si>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</si>
  <si>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</si>
  <si>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</si>
  <si>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</si>
  <si>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</si>
  <si>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</si>
  <si>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</si>
  <si>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</si>
  <si>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</si>
  <si>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</si>
  <si>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</si>
  <si>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</si>
  <si>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</si>
  <si>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</si>
  <si>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</si>
  <si>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</si>
  <si>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</si>
  <si>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</si>
  <si>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</si>
  <si>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</si>
  <si>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</si>
  <si>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</si>
  <si>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</si>
  <si>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</si>
  <si>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</si>
  <si>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</si>
  <si>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</si>
  <si>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</si>
  <si>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</si>
  <si>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</si>
  <si>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</si>
  <si>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</si>
  <si>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</si>
  <si>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</si>
  <si>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</si>
  <si>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</si>
  <si>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</si>
  <si>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</si>
  <si>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</si>
  <si>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</si>
  <si>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</si>
  <si>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</si>
  <si>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</si>
  <si>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</si>
  <si>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</si>
  <si>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</si>
  <si>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</si>
  <si>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</si>
  <si>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</si>
  <si>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</si>
  <si>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</si>
  <si>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</si>
  <si>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</si>
  <si>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</si>
  <si>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</si>
  <si>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</si>
  <si>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</si>
  <si>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</si>
  <si>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</si>
  <si>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</si>
  <si>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</si>
  <si>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</si>
  <si>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</si>
  <si>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</si>
  <si>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</si>
  <si>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</si>
  <si>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</si>
  <si>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</si>
  <si>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</si>
  <si>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</si>
  <si>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</si>
  <si>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</si>
  <si>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</si>
  <si>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</si>
  <si>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</si>
  <si>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</si>
  <si>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</si>
  <si>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</si>
  <si>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</si>
  <si>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</si>
  <si>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</si>
  <si>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</si>
  <si>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</si>
  <si>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</si>
  <si>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</si>
  <si>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</si>
  <si>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</si>
  <si>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</si>
  <si>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</si>
  <si>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</si>
  <si>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</si>
  <si>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</si>
  <si>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</si>
  <si>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</si>
  <si>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</si>
  <si>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</si>
  <si>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</si>
  <si>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</si>
  <si>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</si>
  <si>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</si>
  <si>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</si>
  <si>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</si>
  <si>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</si>
  <si>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</si>
  <si>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</si>
  <si>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</si>
  <si>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</si>
  <si>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</si>
  <si>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</si>
  <si>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</si>
  <si>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</si>
  <si>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</si>
  <si>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</si>
  <si>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</si>
  <si>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</si>
  <si>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</si>
  <si>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</si>
  <si>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</si>
  <si>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</si>
  <si>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</si>
  <si>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</si>
  <si>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</si>
  <si>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</si>
  <si>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</si>
  <si>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</si>
  <si>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</si>
  <si>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</si>
  <si>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</si>
  <si>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</si>
  <si>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</si>
  <si>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</si>
  <si>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</si>
  <si>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</si>
  <si>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</si>
  <si>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</si>
  <si>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</si>
  <si>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</si>
  <si>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</si>
  <si>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</si>
  <si>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</si>
  <si>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</si>
  <si>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</si>
  <si>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</si>
  <si>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</si>
  <si>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</si>
  <si>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</si>
  <si>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</si>
  <si>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</si>
  <si>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</si>
  <si>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</si>
  <si>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</si>
  <si>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</si>
  <si>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</si>
  <si>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</si>
  <si>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</si>
  <si>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</si>
  <si>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</si>
  <si>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</si>
  <si>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</si>
  <si>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</si>
  <si>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</si>
  <si>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</si>
  <si>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</si>
  <si>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</si>
  <si>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</si>
  <si>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</si>
  <si>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</si>
  <si>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</si>
  <si>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</si>
  <si>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</si>
  <si>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</si>
  <si>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</si>
  <si>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</si>
  <si>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</si>
  <si>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</si>
  <si>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</si>
  <si>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</si>
  <si>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</si>
  <si>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</si>
  <si>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</si>
  <si>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</si>
  <si>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</si>
  <si>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</si>
  <si>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</si>
  <si>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</si>
  <si>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</si>
  <si>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</si>
  <si>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</si>
  <si>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</si>
  <si>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</si>
  <si>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</si>
  <si>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</si>
  <si>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</si>
  <si>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</si>
  <si>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</si>
  <si>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</si>
  <si>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</si>
  <si>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</si>
  <si>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</si>
  <si>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</si>
  <si>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</si>
  <si>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</si>
  <si>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</si>
  <si>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</si>
  <si>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</si>
  <si>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</si>
  <si>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</si>
  <si>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</si>
  <si>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</si>
  <si>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</si>
  <si>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</si>
  <si>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</si>
  <si>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</si>
  <si>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</si>
  <si>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</si>
  <si>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</si>
  <si>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</si>
  <si>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</si>
  <si>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</si>
  <si>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</si>
  <si>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</si>
  <si>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</si>
  <si>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</si>
  <si>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</si>
  <si>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</si>
  <si>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</si>
  <si>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</si>
  <si>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</si>
  <si>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</si>
  <si>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</si>
  <si>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</si>
  <si>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</si>
  <si>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</si>
  <si>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</si>
  <si>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</si>
  <si>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</si>
  <si>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</si>
  <si>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</si>
  <si>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</si>
  <si>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</si>
  <si>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</si>
  <si>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</si>
  <si>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</si>
  <si>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</si>
  <si>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</si>
  <si>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</si>
  <si>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</si>
  <si>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</si>
  <si>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</si>
  <si>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</si>
  <si>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</si>
  <si>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</si>
  <si>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</si>
  <si>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</si>
  <si>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</si>
  <si>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</si>
  <si>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</si>
  <si>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</si>
  <si>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</si>
  <si>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</si>
  <si>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</si>
  <si>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</si>
  <si>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</si>
  <si>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</si>
  <si>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</si>
  <si>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</si>
  <si>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</si>
  <si>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</si>
  <si>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</si>
  <si>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</si>
  <si>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</si>
  <si>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</si>
  <si>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</si>
  <si>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</si>
  <si>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</si>
  <si>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</si>
  <si>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</si>
  <si>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</si>
  <si>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</si>
  <si>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</si>
  <si>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</si>
  <si>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</si>
  <si>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</si>
  <si>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</si>
  <si>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</si>
  <si>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</si>
  <si>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</si>
  <si>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</si>
  <si>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</si>
  <si>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</si>
  <si>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</si>
  <si>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</si>
  <si>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</si>
  <si>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</si>
  <si>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</si>
  <si>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</si>
  <si>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</si>
  <si>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</si>
  <si>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</si>
  <si>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</si>
  <si>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</si>
  <si>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</si>
  <si>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</si>
  <si>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</si>
  <si>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</si>
  <si>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</si>
  <si>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</si>
  <si>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</si>
  <si>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</si>
  <si>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</si>
  <si>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</si>
  <si>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</si>
  <si>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</si>
  <si>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</si>
  <si>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</si>
  <si>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</si>
  <si>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</si>
  <si>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</si>
  <si>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</si>
  <si>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</si>
  <si>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</si>
  <si>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</si>
  <si>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</si>
  <si>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</si>
  <si>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</si>
  <si>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</si>
  <si>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</si>
  <si>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</si>
  <si>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</si>
  <si>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</si>
  <si>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</si>
  <si>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</si>
  <si>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</si>
  <si>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</si>
  <si>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</si>
  <si>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</si>
  <si>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</si>
  <si>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</si>
  <si>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</si>
  <si>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</si>
  <si>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</si>
  <si>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</si>
  <si>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</si>
  <si>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</si>
  <si>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</si>
  <si>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</si>
  <si>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</si>
  <si>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</si>
  <si>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</si>
  <si>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</si>
  <si>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</si>
  <si>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</si>
  <si>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</si>
  <si>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</si>
  <si>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</si>
  <si>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</si>
  <si>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</si>
  <si>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</si>
  <si>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</si>
  <si>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</si>
  <si>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</si>
  <si>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</si>
  <si>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</si>
  <si>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</si>
  <si>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</si>
  <si>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</si>
  <si>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</si>
  <si>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</si>
  <si>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</si>
  <si>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</si>
  <si>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</si>
  <si>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</si>
  <si>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</si>
  <si>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</si>
  <si>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</si>
  <si>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</si>
  <si>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</si>
  <si>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</si>
  <si>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</si>
  <si>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</si>
  <si>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</si>
  <si>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</si>
  <si>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</si>
  <si>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</si>
  <si>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</si>
  <si>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</si>
  <si>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</si>
  <si>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</si>
  <si>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</si>
  <si>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</si>
  <si>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</si>
  <si>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</si>
  <si>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</si>
  <si>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</si>
  <si>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</si>
  <si>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</si>
  <si>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</si>
  <si>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</si>
  <si>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</si>
  <si>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</si>
  <si>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</si>
  <si>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</si>
  <si>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</si>
  <si>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</si>
  <si>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</si>
  <si>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</si>
  <si>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</si>
  <si>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</si>
  <si>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</si>
  <si>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</si>
  <si>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</si>
  <si>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</si>
  <si>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</si>
  <si>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</si>
  <si>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</si>
  <si>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</si>
  <si>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</si>
  <si>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</si>
  <si>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</si>
  <si>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</si>
  <si>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</si>
  <si>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</si>
  <si>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</si>
  <si>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</si>
  <si>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</si>
  <si>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</si>
  <si>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</si>
  <si>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</si>
  <si>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</si>
  <si>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</si>
  <si>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</si>
  <si>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</si>
  <si>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</si>
  <si>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</si>
  <si>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</si>
  <si>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</si>
  <si>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</si>
  <si>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</si>
  <si>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</si>
  <si>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</si>
  <si>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</si>
  <si>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</si>
  <si>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</si>
  <si>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</si>
  <si>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</si>
  <si>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</si>
  <si>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</si>
  <si>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</si>
  <si>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</si>
  <si>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</si>
  <si>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</si>
  <si>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</si>
  <si>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</si>
  <si>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</si>
  <si>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</si>
  <si>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</si>
  <si>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</si>
  <si>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</si>
  <si>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</si>
  <si>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</si>
  <si>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</si>
  <si>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</si>
  <si>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</si>
  <si>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</si>
  <si>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</si>
  <si>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</si>
  <si>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</si>
  <si>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</si>
  <si>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</si>
  <si>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</si>
  <si>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</si>
  <si>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</si>
  <si>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</si>
  <si>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</si>
  <si>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</si>
  <si>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</si>
  <si>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</si>
  <si>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</si>
  <si>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</si>
  <si>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</si>
  <si>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</si>
  <si>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</si>
  <si>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</si>
  <si>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</si>
  <si>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</si>
  <si>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</si>
  <si>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</si>
  <si>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</si>
  <si>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</si>
  <si>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</si>
  <si>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</si>
  <si>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</si>
  <si>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</si>
  <si>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</si>
  <si>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</si>
  <si>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</si>
  <si>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</si>
  <si>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</si>
  <si>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</si>
  <si>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</si>
  <si>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</si>
  <si>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</si>
  <si>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</si>
  <si>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</si>
  <si>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</si>
  <si>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</si>
  <si>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</si>
  <si>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</si>
  <si>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</si>
  <si>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</si>
  <si>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</si>
  <si>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</si>
  <si>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</si>
  <si>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</si>
  <si>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</si>
  <si>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</si>
  <si>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</si>
  <si>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</si>
  <si>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</si>
  <si>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</si>
  <si>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</si>
  <si>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</si>
  <si>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</si>
  <si>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</si>
  <si>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</si>
  <si>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</si>
  <si>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</si>
  <si>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</si>
  <si>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</si>
  <si>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</si>
  <si>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</si>
  <si>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</si>
  <si>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</si>
  <si>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</si>
  <si>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</si>
  <si>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</si>
  <si>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</si>
  <si>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</si>
  <si>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</si>
  <si>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</si>
  <si>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</si>
  <si>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</si>
  <si>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</si>
  <si>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</si>
  <si>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</si>
  <si>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</si>
  <si>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</si>
  <si>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</si>
  <si>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</si>
  <si>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</si>
  <si>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</si>
  <si>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</si>
  <si>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</si>
  <si>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</si>
  <si>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</si>
  <si>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</si>
  <si>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</si>
  <si>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</si>
  <si>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</si>
  <si>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</si>
  <si>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</si>
  <si>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</si>
  <si>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</si>
  <si>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</si>
  <si>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</si>
  <si>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</si>
  <si>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</si>
  <si>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</si>
  <si>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</si>
  <si>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</si>
  <si>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</si>
  <si>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</si>
  <si>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</si>
  <si>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</si>
  <si>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</si>
  <si>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</si>
  <si>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</si>
  <si>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</si>
  <si>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</si>
  <si>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</si>
  <si>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</si>
  <si>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</si>
  <si>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</si>
  <si>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</si>
  <si>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</si>
  <si>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</si>
  <si>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</si>
  <si>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</si>
  <si>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</si>
  <si>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</si>
  <si>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</si>
  <si>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</si>
  <si>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</si>
  <si>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</si>
  <si>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</si>
  <si>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</si>
  <si>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</si>
  <si>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</si>
  <si>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</si>
  <si>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</si>
  <si>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</si>
  <si>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</si>
  <si>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</si>
  <si>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</si>
  <si>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</si>
  <si>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</si>
  <si>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</si>
  <si>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</si>
  <si>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</si>
  <si>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</si>
  <si>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</si>
  <si>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</si>
  <si>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</si>
  <si>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</si>
  <si>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</si>
  <si>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</si>
  <si>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</si>
  <si>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</si>
  <si>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</si>
  <si>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</si>
  <si>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</si>
  <si>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</si>
  <si>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</si>
  <si>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</si>
  <si>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</si>
  <si>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</si>
  <si>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</si>
  <si>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</si>
  <si>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</si>
  <si>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</si>
  <si>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</si>
  <si>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</si>
  <si>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</si>
  <si>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</si>
  <si>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</si>
  <si>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</si>
  <si>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</si>
  <si>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</si>
  <si>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</si>
  <si>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</si>
  <si>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</si>
  <si>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</si>
  <si>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</si>
  <si>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</si>
  <si>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</si>
  <si>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</si>
  <si>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</si>
  <si>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</si>
  <si>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</si>
  <si>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</si>
  <si>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</si>
  <si>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</si>
  <si>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</si>
  <si>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</si>
  <si>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</si>
  <si>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</si>
  <si>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</si>
  <si>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</si>
  <si>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</si>
  <si>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</si>
  <si>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</si>
  <si>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</si>
  <si>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</si>
  <si>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</si>
  <si>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</si>
  <si>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</si>
  <si>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</si>
  <si>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</si>
  <si>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</si>
  <si>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</si>
  <si>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</si>
  <si>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</si>
  <si>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</si>
  <si>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</si>
  <si>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</si>
  <si>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</si>
  <si>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</si>
  <si>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</si>
  <si>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</si>
  <si>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</si>
  <si>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</si>
  <si>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</si>
  <si>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</si>
  <si>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</si>
  <si>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</si>
  <si>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</si>
  <si>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</si>
  <si>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</si>
  <si>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</si>
  <si>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</si>
  <si>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</si>
  <si>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</si>
  <si>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</si>
  <si>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</si>
  <si>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</si>
  <si>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</si>
  <si>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</si>
  <si>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</si>
  <si>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</si>
  <si>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</si>
  <si>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</si>
  <si>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</si>
  <si>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</si>
  <si>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</si>
  <si>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</si>
  <si>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</si>
  <si>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</si>
  <si>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</si>
  <si>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</si>
  <si>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</si>
  <si>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</si>
  <si>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</si>
  <si>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</si>
  <si>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</si>
  <si>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</si>
  <si>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</si>
  <si>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</si>
  <si>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</si>
  <si>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</si>
  <si>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</si>
  <si>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</si>
  <si>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</si>
  <si>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</si>
  <si>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</si>
  <si>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</si>
  <si>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</si>
  <si>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</si>
  <si>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</si>
  <si>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</si>
  <si>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</si>
  <si>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</si>
  <si>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</si>
  <si>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</si>
  <si>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</si>
  <si>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</si>
  <si>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</si>
  <si>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</si>
  <si>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</si>
  <si>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</si>
  <si>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</si>
  <si>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</si>
  <si>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</si>
  <si>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</si>
  <si>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</si>
  <si>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</si>
  <si>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</si>
  <si>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</si>
  <si>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</si>
  <si>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</si>
  <si>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</si>
  <si>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</si>
  <si>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</si>
  <si>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</si>
  <si>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</si>
  <si>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</si>
  <si>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</si>
  <si>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</si>
  <si>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</si>
  <si>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</si>
  <si>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</si>
  <si>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</si>
  <si>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</si>
  <si>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</si>
  <si>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</si>
  <si>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</si>
  <si>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</si>
  <si>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</si>
  <si>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</si>
  <si>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</si>
  <si>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</si>
  <si>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</si>
  <si>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</si>
  <si>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</si>
  <si>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</si>
  <si>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</si>
  <si>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</si>
  <si>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</si>
  <si>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</si>
  <si>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</si>
  <si>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</si>
  <si>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</si>
  <si>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</si>
  <si>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</si>
  <si>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</si>
  <si>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</si>
  <si>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</si>
  <si>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</si>
  <si>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</si>
  <si>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</si>
  <si>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</si>
  <si>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</si>
  <si>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</si>
  <si>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</si>
  <si>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</si>
  <si>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</si>
  <si>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</si>
  <si>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</si>
  <si>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</si>
  <si>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</si>
  <si>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</si>
  <si>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</si>
  <si>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</si>
  <si>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</si>
  <si>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</si>
  <si>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</si>
  <si>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</si>
  <si>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</si>
  <si>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</si>
  <si>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</si>
  <si>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</si>
  <si>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</si>
  <si>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</si>
  <si>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</si>
  <si>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</si>
  <si>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</si>
  <si>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</si>
  <si>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</si>
  <si>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</si>
  <si>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</si>
  <si>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</si>
  <si>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</si>
  <si>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</si>
  <si>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</si>
  <si>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</si>
  <si>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</si>
  <si>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</si>
  <si>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</si>
  <si>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</si>
  <si>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</si>
  <si>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</si>
  <si>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</si>
  <si>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</si>
  <si>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</si>
  <si>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</si>
  <si>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</si>
  <si>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</si>
  <si>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</si>
  <si>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</si>
  <si>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</si>
  <si>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</si>
  <si>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</si>
  <si>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</si>
  <si>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</si>
  <si>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</si>
  <si>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</si>
  <si>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</si>
  <si>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</si>
  <si>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</si>
  <si>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</si>
  <si>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</si>
  <si>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</si>
  <si>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</si>
  <si>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</si>
  <si>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</si>
  <si>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</si>
  <si>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</si>
  <si>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</si>
  <si>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</si>
  <si>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</si>
  <si>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</si>
  <si>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</si>
  <si>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</si>
  <si>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</si>
  <si>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</si>
  <si>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</si>
  <si>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</si>
  <si>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</si>
  <si>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</si>
  <si>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</si>
  <si>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</si>
  <si>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</si>
  <si>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</si>
  <si>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</si>
  <si>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</si>
  <si>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</si>
  <si>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</si>
  <si>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</si>
  <si>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</si>
  <si>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</si>
  <si>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</si>
  <si>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</si>
  <si>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</si>
  <si>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</si>
  <si>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</si>
  <si>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</si>
  <si>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</si>
  <si>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</si>
  <si>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</si>
  <si>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</si>
  <si>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</si>
  <si>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</si>
  <si>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</si>
  <si>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</si>
  <si>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</si>
  <si>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</si>
  <si>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</si>
  <si>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</si>
  <si>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</si>
  <si>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</si>
  <si>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</si>
  <si>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</si>
  <si>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</si>
  <si>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</si>
  <si>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</si>
  <si>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</si>
  <si>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</si>
  <si>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</si>
  <si>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</si>
  <si>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</si>
  <si>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</si>
  <si>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</si>
  <si>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</si>
  <si>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</si>
  <si>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</si>
  <si>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</si>
  <si>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</si>
  <si>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</si>
  <si>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</si>
  <si>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</si>
  <si>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</si>
  <si>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</si>
  <si>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</si>
  <si>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</si>
  <si>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</si>
  <si>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</si>
  <si>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</si>
  <si>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</si>
  <si>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</si>
  <si>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</si>
  <si>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</si>
  <si>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</si>
  <si>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</si>
  <si>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</si>
  <si>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</si>
  <si>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</si>
  <si>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</si>
  <si>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</si>
  <si>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</si>
  <si>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</si>
  <si>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</si>
  <si>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</si>
  <si>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</si>
  <si>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</si>
  <si>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</si>
  <si>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</si>
  <si>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</si>
  <si>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</si>
  <si>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</si>
  <si>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</si>
  <si>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</si>
  <si>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</si>
  <si>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</si>
  <si>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</si>
  <si>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</si>
  <si>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</si>
  <si>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</si>
  <si>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</si>
  <si>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</si>
  <si>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</si>
  <si>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</si>
  <si>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</si>
  <si>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</si>
  <si>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</si>
  <si>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</si>
  <si>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</si>
  <si>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</si>
  <si>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</si>
  <si>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</si>
  <si>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</si>
  <si>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</si>
  <si>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</si>
  <si>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</si>
  <si>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</si>
  <si>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</si>
  <si>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</si>
  <si>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</si>
  <si>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</si>
  <si>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</si>
  <si>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</si>
  <si>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</si>
  <si>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</si>
  <si>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</si>
  <si>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</si>
  <si>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</si>
  <si>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</si>
  <si>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</si>
  <si>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</si>
  <si>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</si>
  <si>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</si>
  <si>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</si>
  <si>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</si>
  <si>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</si>
  <si>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</si>
  <si>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</si>
  <si>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</si>
  <si>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</si>
  <si>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</si>
  <si>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OP  SK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</si>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</sst>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23" xfId="34" applyFont="1" applyFill="1" applyBorder="1" applyAlignment="1" applyProtection="1" quotePrefix="1">
      <alignment horizontal="center" vertical="center"/>
      <protection/>
    </xf>
    <xf numFmtId="0" fontId="255" fillId="49" borderId="24" xfId="34" applyFont="1" applyFill="1" applyBorder="1" applyAlignment="1" applyProtection="1">
      <alignment horizontal="center" vertical="center"/>
      <protection/>
    </xf>
    <xf numFmtId="0" fontId="256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57" fillId="49" borderId="19" xfId="34" applyFont="1" applyFill="1" applyBorder="1" applyAlignment="1" applyProtection="1">
      <alignment horizontal="center" vertical="center" wrapText="1"/>
      <protection/>
    </xf>
    <xf numFmtId="0" fontId="258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5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9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9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0" fillId="49" borderId="49" xfId="42" applyFont="1" applyFill="1" applyBorder="1" applyAlignment="1" quotePrefix="1">
      <alignment horizontal="right" vertical="center"/>
      <protection/>
    </xf>
    <xf numFmtId="0" fontId="255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58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0" fillId="49" borderId="49" xfId="42" applyFont="1" applyFill="1" applyBorder="1" applyAlignment="1" applyProtection="1" quotePrefix="1">
      <alignment horizontal="right" vertical="center"/>
      <protection/>
    </xf>
    <xf numFmtId="0" fontId="255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1" fillId="39" borderId="103" xfId="38" applyFont="1" applyFill="1" applyBorder="1" applyProtection="1">
      <alignment/>
      <protection/>
    </xf>
    <xf numFmtId="190" fontId="261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2" fillId="52" borderId="104" xfId="34" applyFont="1" applyFill="1" applyBorder="1" applyAlignment="1" applyProtection="1" quotePrefix="1">
      <alignment vertical="center"/>
      <protection/>
    </xf>
    <xf numFmtId="0" fontId="263" fillId="52" borderId="105" xfId="34" applyFont="1" applyFill="1" applyBorder="1" applyAlignment="1" applyProtection="1">
      <alignment horizontal="center" vertical="center"/>
      <protection/>
    </xf>
    <xf numFmtId="0" fontId="262" fillId="52" borderId="106" xfId="34" applyFont="1" applyFill="1" applyBorder="1" applyAlignment="1" applyProtection="1" quotePrefix="1">
      <alignment horizontal="center" vertical="center" wrapText="1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2" fillId="39" borderId="23" xfId="34" applyNumberFormat="1" applyFont="1" applyFill="1" applyBorder="1" applyAlignment="1" applyProtection="1">
      <alignment horizontal="center" vertical="center" wrapText="1"/>
      <protection/>
    </xf>
    <xf numFmtId="1" fontId="262" fillId="39" borderId="92" xfId="34" applyNumberFormat="1" applyFont="1" applyFill="1" applyBorder="1" applyAlignment="1" applyProtection="1">
      <alignment horizontal="center" vertical="center" wrapText="1"/>
      <protection/>
    </xf>
    <xf numFmtId="1" fontId="262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3" fillId="39" borderId="0" xfId="34" applyFont="1" applyFill="1" applyBorder="1" applyAlignment="1" applyProtection="1">
      <alignment horizontal="left" vertical="center" wrapText="1"/>
      <protection/>
    </xf>
    <xf numFmtId="181" fontId="262" fillId="4" borderId="40" xfId="42" applyNumberFormat="1" applyFont="1" applyFill="1" applyBorder="1" applyAlignment="1" quotePrefix="1">
      <alignment horizontal="right" vertical="center"/>
      <protection/>
    </xf>
    <xf numFmtId="3" fontId="262" fillId="4" borderId="61" xfId="34" applyNumberFormat="1" applyFont="1" applyFill="1" applyBorder="1" applyAlignment="1" applyProtection="1">
      <alignment vertical="center"/>
      <protection/>
    </xf>
    <xf numFmtId="3" fontId="263" fillId="4" borderId="17" xfId="34" applyNumberFormat="1" applyFont="1" applyFill="1" applyBorder="1" applyAlignment="1">
      <alignment vertical="center"/>
      <protection/>
    </xf>
    <xf numFmtId="3" fontId="263" fillId="4" borderId="12" xfId="34" applyNumberFormat="1" applyFont="1" applyFill="1" applyBorder="1" applyAlignment="1" applyProtection="1">
      <alignment vertical="center"/>
      <protection/>
    </xf>
    <xf numFmtId="3" fontId="263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3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3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2" fillId="4" borderId="61" xfId="34" applyNumberFormat="1" applyFont="1" applyFill="1" applyBorder="1" applyAlignment="1" applyProtection="1">
      <alignment horizontal="right" vertical="center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/>
    </xf>
    <xf numFmtId="3" fontId="263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 locked="0"/>
    </xf>
    <xf numFmtId="3" fontId="263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2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2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2" fillId="4" borderId="20" xfId="42" applyNumberFormat="1" applyFont="1" applyFill="1" applyBorder="1" applyAlignment="1" quotePrefix="1">
      <alignment horizontal="right" vertical="center"/>
      <protection/>
    </xf>
    <xf numFmtId="3" fontId="262" fillId="4" borderId="19" xfId="34" applyNumberFormat="1" applyFont="1" applyFill="1" applyBorder="1" applyAlignment="1" applyProtection="1">
      <alignment vertical="center"/>
      <protection/>
    </xf>
    <xf numFmtId="3" fontId="263" fillId="4" borderId="23" xfId="34" applyNumberFormat="1" applyFont="1" applyFill="1" applyBorder="1" applyAlignment="1" applyProtection="1">
      <alignment vertical="center"/>
      <protection/>
    </xf>
    <xf numFmtId="3" fontId="263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66" fillId="52" borderId="113" xfId="42" applyNumberFormat="1" applyFont="1" applyFill="1" applyBorder="1" applyAlignment="1">
      <alignment horizontal="right" vertical="center"/>
      <protection/>
    </xf>
    <xf numFmtId="181" fontId="264" fillId="52" borderId="50" xfId="42" applyNumberFormat="1" applyFont="1" applyFill="1" applyBorder="1" applyAlignment="1" quotePrefix="1">
      <alignment horizontal="right" vertical="center"/>
      <protection/>
    </xf>
    <xf numFmtId="0" fontId="262" fillId="52" borderId="114" xfId="42" applyFont="1" applyFill="1" applyBorder="1" applyAlignment="1">
      <alignment horizontal="center" vertical="center" wrapText="1"/>
      <protection/>
    </xf>
    <xf numFmtId="3" fontId="262" fillId="52" borderId="89" xfId="34" applyNumberFormat="1" applyFont="1" applyFill="1" applyBorder="1" applyAlignment="1" applyProtection="1">
      <alignment vertical="center"/>
      <protection/>
    </xf>
    <xf numFmtId="3" fontId="263" fillId="52" borderId="49" xfId="34" applyNumberFormat="1" applyFont="1" applyFill="1" applyBorder="1" applyAlignment="1">
      <alignment vertical="center"/>
      <protection/>
    </xf>
    <xf numFmtId="3" fontId="263" fillId="52" borderId="115" xfId="34" applyNumberFormat="1" applyFont="1" applyFill="1" applyBorder="1" applyAlignment="1">
      <alignment vertical="center"/>
      <protection/>
    </xf>
    <xf numFmtId="3" fontId="263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1" fillId="39" borderId="103" xfId="38" applyNumberFormat="1" applyFont="1" applyFill="1" applyBorder="1" applyProtection="1">
      <alignment/>
      <protection/>
    </xf>
    <xf numFmtId="190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8" fillId="39" borderId="12" xfId="40" applyNumberFormat="1" applyFont="1" applyFill="1" applyBorder="1" applyAlignment="1" applyProtection="1">
      <alignment horizontal="center" vertical="center"/>
      <protection/>
    </xf>
    <xf numFmtId="186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6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9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5" fillId="42" borderId="126" xfId="37" applyNumberFormat="1" applyFont="1" applyFill="1" applyBorder="1" applyAlignment="1" applyProtection="1" quotePrefix="1">
      <alignment horizontal="center" wrapText="1"/>
      <protection/>
    </xf>
    <xf numFmtId="195" fontId="286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5" fillId="42" borderId="132" xfId="37" applyNumberFormat="1" applyFont="1" applyFill="1" applyBorder="1" applyAlignment="1" applyProtection="1" quotePrefix="1">
      <alignment horizontal="center"/>
      <protection/>
    </xf>
    <xf numFmtId="179" fontId="289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8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4" fillId="39" borderId="82" xfId="37" applyNumberFormat="1" applyFont="1" applyFill="1" applyBorder="1" applyAlignment="1" applyProtection="1" quotePrefix="1">
      <alignment/>
      <protection/>
    </xf>
    <xf numFmtId="189" fontId="274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4" fillId="26" borderId="105" xfId="37" applyNumberFormat="1" applyFont="1" applyFill="1" applyBorder="1" applyAlignment="1" applyProtection="1" quotePrefix="1">
      <alignment/>
      <protection/>
    </xf>
    <xf numFmtId="189" fontId="274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1" fillId="65" borderId="159" xfId="37" applyNumberFormat="1" applyFont="1" applyFill="1" applyBorder="1" applyAlignment="1" applyProtection="1">
      <alignment horizontal="center"/>
      <protection/>
    </xf>
    <xf numFmtId="190" fontId="292" fillId="65" borderId="160" xfId="37" applyNumberFormat="1" applyFont="1" applyFill="1" applyBorder="1" applyAlignment="1" applyProtection="1">
      <alignment horizontal="center"/>
      <protection/>
    </xf>
    <xf numFmtId="190" fontId="293" fillId="66" borderId="159" xfId="37" applyNumberFormat="1" applyFont="1" applyFill="1" applyBorder="1" applyAlignment="1" applyProtection="1">
      <alignment horizontal="center"/>
      <protection/>
    </xf>
    <xf numFmtId="190" fontId="294" fillId="66" borderId="160" xfId="37" applyNumberFormat="1" applyFont="1" applyFill="1" applyBorder="1" applyAlignment="1" applyProtection="1">
      <alignment horizontal="center"/>
      <protection/>
    </xf>
    <xf numFmtId="190" fontId="295" fillId="67" borderId="161" xfId="37" applyNumberFormat="1" applyFont="1" applyFill="1" applyBorder="1" applyAlignment="1" applyProtection="1">
      <alignment horizontal="center"/>
      <protection/>
    </xf>
    <xf numFmtId="190" fontId="296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1" fillId="65" borderId="165" xfId="37" applyNumberFormat="1" applyFont="1" applyFill="1" applyBorder="1" applyAlignment="1" applyProtection="1">
      <alignment horizontal="center"/>
      <protection/>
    </xf>
    <xf numFmtId="190" fontId="292" fillId="65" borderId="166" xfId="37" applyNumberFormat="1" applyFont="1" applyFill="1" applyBorder="1" applyAlignment="1" applyProtection="1">
      <alignment horizontal="center"/>
      <protection/>
    </xf>
    <xf numFmtId="190" fontId="293" fillId="66" borderId="165" xfId="37" applyNumberFormat="1" applyFont="1" applyFill="1" applyBorder="1" applyAlignment="1" applyProtection="1">
      <alignment horizontal="center"/>
      <protection/>
    </xf>
    <xf numFmtId="190" fontId="294" fillId="66" borderId="166" xfId="37" applyNumberFormat="1" applyFont="1" applyFill="1" applyBorder="1" applyAlignment="1" applyProtection="1">
      <alignment horizontal="center"/>
      <protection/>
    </xf>
    <xf numFmtId="190" fontId="295" fillId="67" borderId="167" xfId="37" applyNumberFormat="1" applyFont="1" applyFill="1" applyBorder="1" applyAlignment="1" applyProtection="1">
      <alignment horizontal="center"/>
      <protection/>
    </xf>
    <xf numFmtId="190" fontId="296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7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8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2" fontId="296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0" fillId="70" borderId="0" xfId="36" applyFont="1" applyFill="1" applyBorder="1">
      <alignment/>
      <protection/>
    </xf>
    <xf numFmtId="0" fontId="300" fillId="70" borderId="0" xfId="36" applyFont="1" applyFill="1" applyBorder="1" applyAlignment="1">
      <alignment/>
      <protection/>
    </xf>
    <xf numFmtId="0" fontId="300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0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1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1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1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2" fillId="71" borderId="66" xfId="34" applyFont="1" applyFill="1" applyBorder="1">
      <alignment/>
      <protection/>
    </xf>
    <xf numFmtId="49" fontId="301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3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4" fillId="71" borderId="97" xfId="34" applyNumberFormat="1" applyFont="1" applyFill="1" applyBorder="1" applyAlignment="1">
      <alignment horizontal="center"/>
      <protection/>
    </xf>
    <xf numFmtId="182" fontId="305" fillId="71" borderId="61" xfId="34" applyNumberFormat="1" applyFont="1" applyFill="1" applyBorder="1" applyAlignment="1">
      <alignment horizontal="left"/>
      <protection/>
    </xf>
    <xf numFmtId="182" fontId="306" fillId="71" borderId="61" xfId="34" applyNumberFormat="1" applyFont="1" applyFill="1" applyBorder="1" applyAlignment="1">
      <alignment horizontal="left"/>
      <protection/>
    </xf>
    <xf numFmtId="0" fontId="302" fillId="71" borderId="142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302" fillId="71" borderId="111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02" fillId="71" borderId="64" xfId="34" applyFont="1" applyFill="1" applyBorder="1" applyAlignment="1">
      <alignment horizontal="left"/>
      <protection/>
    </xf>
    <xf numFmtId="0" fontId="300" fillId="0" borderId="0" xfId="36" applyFont="1" applyFill="1" applyBorder="1" quotePrefix="1">
      <alignment/>
      <protection/>
    </xf>
    <xf numFmtId="182" fontId="300" fillId="0" borderId="0" xfId="36" applyNumberFormat="1" applyFont="1" applyFill="1" applyBorder="1">
      <alignment/>
      <protection/>
    </xf>
    <xf numFmtId="0" fontId="302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9" fillId="71" borderId="66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5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1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176" xfId="34" applyFont="1" applyFill="1" applyBorder="1" applyAlignment="1">
      <alignment horizontal="left"/>
      <protection/>
    </xf>
    <xf numFmtId="0" fontId="307" fillId="0" borderId="0" xfId="34" applyNumberFormat="1" applyFont="1" applyFill="1" applyBorder="1" applyAlignment="1" quotePrefix="1">
      <alignment horizontal="center"/>
      <protection/>
    </xf>
    <xf numFmtId="0" fontId="311" fillId="0" borderId="0" xfId="34" applyFont="1" applyFill="1" applyBorder="1" applyAlignment="1">
      <alignment horizontal="left"/>
      <protection/>
    </xf>
    <xf numFmtId="0" fontId="300" fillId="70" borderId="12" xfId="36" applyFont="1" applyFill="1" applyBorder="1">
      <alignment/>
      <protection/>
    </xf>
    <xf numFmtId="0" fontId="300" fillId="70" borderId="12" xfId="36" applyFont="1" applyFill="1" applyBorder="1" applyAlignment="1">
      <alignment/>
      <protection/>
    </xf>
    <xf numFmtId="0" fontId="300" fillId="73" borderId="12" xfId="36" applyFont="1" applyFill="1" applyBorder="1">
      <alignment/>
      <protection/>
    </xf>
    <xf numFmtId="0" fontId="300" fillId="0" borderId="12" xfId="36" applyFont="1" applyFill="1" applyBorder="1">
      <alignment/>
      <protection/>
    </xf>
    <xf numFmtId="14" fontId="300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4" fillId="71" borderId="97" xfId="34" applyNumberFormat="1" applyFont="1" applyFill="1" applyBorder="1" applyAlignment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01" fillId="71" borderId="63" xfId="34" applyNumberFormat="1" applyFont="1" applyFill="1" applyBorder="1" applyAlignment="1" quotePrefix="1">
      <alignment horizontal="center"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49" fontId="301" fillId="71" borderId="129" xfId="34" applyNumberFormat="1" applyFont="1" applyFill="1" applyBorder="1" applyAlignment="1" quotePrefix="1">
      <alignment horizontal="center"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296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69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5" fillId="74" borderId="0" xfId="36" applyFill="1">
      <alignment/>
      <protection/>
    </xf>
    <xf numFmtId="0" fontId="215" fillId="74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45" borderId="23" xfId="34" applyNumberFormat="1" applyFont="1" applyFill="1" applyBorder="1" applyAlignment="1" applyProtection="1">
      <alignment horizontal="center" vertical="center"/>
      <protection/>
    </xf>
    <xf numFmtId="188" fontId="241" fillId="45" borderId="92" xfId="34" applyNumberFormat="1" applyFont="1" applyFill="1" applyBorder="1" applyAlignment="1" applyProtection="1">
      <alignment horizontal="center" vertical="center"/>
      <protection/>
    </xf>
    <xf numFmtId="188" fontId="241" fillId="45" borderId="177" xfId="34" applyNumberFormat="1" applyFont="1" applyFill="1" applyBorder="1" applyAlignment="1" applyProtection="1">
      <alignment horizontal="center" vertical="center"/>
      <protection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3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/>
      <protection/>
    </xf>
    <xf numFmtId="38" fontId="314" fillId="45" borderId="47" xfId="47" applyNumberFormat="1" applyFont="1" applyFill="1" applyBorder="1" applyAlignment="1" applyProtection="1">
      <alignment/>
      <protection/>
    </xf>
    <xf numFmtId="38" fontId="314" fillId="45" borderId="147" xfId="4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6" fillId="45" borderId="145" xfId="3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 horizontal="center"/>
      <protection/>
    </xf>
    <xf numFmtId="38" fontId="314" fillId="45" borderId="47" xfId="47" applyNumberFormat="1" applyFont="1" applyFill="1" applyBorder="1" applyAlignment="1" applyProtection="1">
      <alignment horizontal="center"/>
      <protection/>
    </xf>
    <xf numFmtId="38" fontId="314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9" fillId="39" borderId="26" xfId="34" applyFont="1" applyFill="1" applyBorder="1" applyAlignment="1">
      <alignment vertical="center"/>
      <protection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69" fillId="39" borderId="0" xfId="34" applyNumberFormat="1" applyFont="1" applyFill="1" applyAlignment="1">
      <alignment vertical="center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77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4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8" fillId="42" borderId="14" xfId="34" applyFont="1" applyFill="1" applyBorder="1" applyAlignment="1" applyProtection="1">
      <alignment horizontal="center" vertical="center"/>
      <protection/>
    </xf>
    <xf numFmtId="0" fontId="298" fillId="42" borderId="15" xfId="34" applyFont="1" applyFill="1" applyBorder="1" applyAlignment="1" applyProtection="1">
      <alignment horizontal="center" vertical="center"/>
      <protection/>
    </xf>
    <xf numFmtId="0" fontId="298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34" applyFont="1" applyFill="1" applyBorder="1" applyAlignment="1" applyProtection="1">
      <alignment horizontal="center" vertical="center"/>
      <protection/>
    </xf>
    <xf numFmtId="0" fontId="319" fillId="52" borderId="15" xfId="34" applyFont="1" applyFill="1" applyBorder="1" applyAlignment="1" applyProtection="1">
      <alignment horizontal="center" vertical="center"/>
      <protection/>
    </xf>
    <xf numFmtId="0" fontId="319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9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59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2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2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>
      <alignment horizontal="left" vertical="center"/>
      <protection/>
    </xf>
    <xf numFmtId="0" fontId="262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2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 quotePrefix="1">
      <alignment horizontal="left" vertical="center"/>
      <protection/>
    </xf>
    <xf numFmtId="0" fontId="262" fillId="4" borderId="21" xfId="42" applyFont="1" applyFill="1" applyBorder="1" applyAlignment="1">
      <alignment vertical="center" wrapText="1"/>
      <protection/>
    </xf>
    <xf numFmtId="0" fontId="262" fillId="4" borderId="97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2" fillId="4" borderId="25" xfId="34" applyFont="1" applyFill="1" applyBorder="1" applyAlignment="1">
      <alignment horizontal="left" vertical="center"/>
      <protection/>
    </xf>
    <xf numFmtId="0" fontId="262" fillId="4" borderId="25" xfId="34" applyFont="1" applyFill="1" applyBorder="1" applyAlignment="1">
      <alignment horizontal="left" vertical="center" wrapText="1"/>
      <protection/>
    </xf>
    <xf numFmtId="0" fontId="262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OP  SK</v>
      </c>
      <c r="C2" s="1659"/>
      <c r="D2" s="1660"/>
      <c r="E2" s="1008"/>
      <c r="F2" s="1009">
        <f>+OTCHET!H9</f>
        <v>0</v>
      </c>
      <c r="G2" s="1010" t="str">
        <f>+OTCHET!F12</f>
        <v>7106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978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68" t="s">
        <v>981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45291</v>
      </c>
      <c r="M6" s="1008"/>
      <c r="N6" s="1033" t="s">
        <v>983</v>
      </c>
      <c r="O6" s="997"/>
      <c r="P6" s="1034">
        <f>OTCHET!F9</f>
        <v>45291</v>
      </c>
      <c r="Q6" s="1033" t="s">
        <v>983</v>
      </c>
      <c r="R6" s="1035"/>
      <c r="S6" s="1669">
        <f>+Q4</f>
        <v>2023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0" t="s">
        <v>960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45291</v>
      </c>
      <c r="H9" s="1008"/>
      <c r="I9" s="1058">
        <f>+L4</f>
        <v>2023</v>
      </c>
      <c r="J9" s="1059">
        <f>+L6</f>
        <v>45291</v>
      </c>
      <c r="K9" s="1060"/>
      <c r="L9" s="1061">
        <f>+L6</f>
        <v>45291</v>
      </c>
      <c r="M9" s="1060"/>
      <c r="N9" s="1062">
        <f>+L6</f>
        <v>45291</v>
      </c>
      <c r="O9" s="1063"/>
      <c r="P9" s="1064">
        <f>+L4</f>
        <v>2023</v>
      </c>
      <c r="Q9" s="1062">
        <f>+L6</f>
        <v>45291</v>
      </c>
      <c r="R9" s="1035"/>
      <c r="S9" s="1673" t="s">
        <v>961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998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79" t="s">
        <v>1979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2" t="s">
        <v>1978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79" t="s">
        <v>1000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30000</v>
      </c>
      <c r="G17" s="1103">
        <f t="shared" si="1"/>
        <v>32584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32584</v>
      </c>
      <c r="O17" s="1086"/>
      <c r="P17" s="1102">
        <f>+ROUND(OTCHET!E77,0)</f>
        <v>30000</v>
      </c>
      <c r="Q17" s="1103">
        <f>+ROUND(OTCHET!L77,0)</f>
        <v>32584</v>
      </c>
      <c r="R17" s="1035"/>
      <c r="S17" s="1679" t="s">
        <v>1002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1004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79" t="s">
        <v>1006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1008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1010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5" t="s">
        <v>1980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30000</v>
      </c>
      <c r="G23" s="1114">
        <f>+ROUND(+SUM(G13,G14,G16,G17,G18,G19,G20,G21,G22),0)</f>
        <v>32584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32584</v>
      </c>
      <c r="O23" s="1086"/>
      <c r="P23" s="1114">
        <f>+ROUND(+SUM(P13,P14,P16,P17,P18,P19,P20,P21,P22),0)</f>
        <v>30000</v>
      </c>
      <c r="Q23" s="1114">
        <f>+ROUND(+SUM(Q13,Q14,Q16,Q17,Q18,Q19,Q20,Q21,Q22),0)</f>
        <v>32584</v>
      </c>
      <c r="R23" s="1035"/>
      <c r="S23" s="1688" t="s">
        <v>1013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6" t="s">
        <v>1016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79" t="s">
        <v>1018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5" t="s">
        <v>1020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1022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-1294</v>
      </c>
      <c r="G35" s="1115">
        <f>+IF($P$2=0,$Q35,0)</f>
        <v>-1294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-1294</v>
      </c>
      <c r="O35" s="1086"/>
      <c r="P35" s="1114">
        <f>+ROUND(+OTCHET!E119+OTCHET!E117,0)</f>
        <v>-1294</v>
      </c>
      <c r="Q35" s="1115">
        <f>+ROUND(+OTCHET!L119+OTCHET!L117,0)</f>
        <v>-1294</v>
      </c>
      <c r="R35" s="1035"/>
      <c r="S35" s="1688" t="s">
        <v>1029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-725</v>
      </c>
      <c r="G36" s="1161">
        <f>+IF($P$2=0,$Q36,0)</f>
        <v>-725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-725</v>
      </c>
      <c r="O36" s="1086"/>
      <c r="P36" s="1160">
        <f>+ROUND(OTCHET!E120,0)</f>
        <v>-725</v>
      </c>
      <c r="Q36" s="1161">
        <f>+ROUND(OTCHET!L120,0)</f>
        <v>-725</v>
      </c>
      <c r="R36" s="1035"/>
      <c r="S36" s="1691" t="s">
        <v>1031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-569</v>
      </c>
      <c r="G37" s="1167">
        <f>+IF($P$2=0,$Q37,0)</f>
        <v>-569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-569</v>
      </c>
      <c r="O37" s="1086"/>
      <c r="P37" s="1166">
        <f>+ROUND(OTCHET!E121,0)</f>
        <v>-569</v>
      </c>
      <c r="Q37" s="1167">
        <f>+ROUND(OTCHET!L121,0)</f>
        <v>-569</v>
      </c>
      <c r="R37" s="1035"/>
      <c r="S37" s="1694" t="s">
        <v>1033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7" t="s">
        <v>1035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22481</v>
      </c>
      <c r="G40" s="1115">
        <f>+IF($P$2=0,$Q40,0)</f>
        <v>22481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22481</v>
      </c>
      <c r="O40" s="1086"/>
      <c r="P40" s="1114">
        <f>+ROUND(OTCHET!E115+OTCHET!E116,0)</f>
        <v>22481</v>
      </c>
      <c r="Q40" s="1115">
        <f>+ROUND(OTCHET!L115+OTCHET!L116,0)</f>
        <v>22481</v>
      </c>
      <c r="R40" s="1035"/>
      <c r="S40" s="1688" t="s">
        <v>1037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6" t="s">
        <v>1040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79" t="s">
        <v>1042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79" t="s">
        <v>1043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5" t="s">
        <v>1045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1047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51187</v>
      </c>
      <c r="G48" s="1189">
        <f>+ROUND(G23+G28+G35+G40+G46,0)</f>
        <v>53771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53771</v>
      </c>
      <c r="O48" s="1191"/>
      <c r="P48" s="1188">
        <f>+ROUND(P23+P28+P35+P40+P46,0)</f>
        <v>51187</v>
      </c>
      <c r="Q48" s="1189">
        <f>+ROUND(Q23+Q28+Q35+Q40+Q46,0)</f>
        <v>53771</v>
      </c>
      <c r="R48" s="1035"/>
      <c r="S48" s="1700" t="s">
        <v>1049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31612</v>
      </c>
      <c r="G51" s="1091">
        <f>+IF($P$2=0,$Q51,0)</f>
        <v>22001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22001</v>
      </c>
      <c r="O51" s="1086"/>
      <c r="P51" s="1090">
        <f>+ROUND(OTCHET!E205-SUM(OTCHET!E217:E219)+OTCHET!E271+IF(+OR(OTCHET!$F$12=5500,OTCHET!$F$12=5600),0,+OTCHET!E297),0)</f>
        <v>31612</v>
      </c>
      <c r="Q51" s="1091">
        <f>+ROUND(OTCHET!L205-SUM(OTCHET!L217:L219)+OTCHET!L271+IF(+OR(OTCHET!$F$12=5500,OTCHET!$F$12=5600),0,+OTCHET!L297),0)</f>
        <v>22001</v>
      </c>
      <c r="R51" s="1035"/>
      <c r="S51" s="1676" t="s">
        <v>1053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3500</v>
      </c>
      <c r="G52" s="1109">
        <f>+IF($P$2=0,$Q52,0)</f>
        <v>3473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3473</v>
      </c>
      <c r="O52" s="1086"/>
      <c r="P52" s="1108">
        <f>+ROUND(+SUM(OTCHET!E217:E219),0)</f>
        <v>3500</v>
      </c>
      <c r="Q52" s="1109">
        <f>+ROUND(+SUM(OTCHET!L217:L219),0)</f>
        <v>3473</v>
      </c>
      <c r="R52" s="1035"/>
      <c r="S52" s="1679" t="s">
        <v>1055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6613</v>
      </c>
      <c r="G53" s="1109">
        <f>+IF($P$2=0,$Q53,0)</f>
        <v>3856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3856</v>
      </c>
      <c r="O53" s="1086"/>
      <c r="P53" s="1108">
        <f>+ROUND(OTCHET!E223,0)</f>
        <v>6613</v>
      </c>
      <c r="Q53" s="1109">
        <f>+ROUND(OTCHET!L223,0)</f>
        <v>3856</v>
      </c>
      <c r="R53" s="1035"/>
      <c r="S53" s="1679" t="s">
        <v>1057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88837</v>
      </c>
      <c r="G54" s="1109">
        <f>+IF($P$2=0,$Q54,0)</f>
        <v>57619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57619</v>
      </c>
      <c r="O54" s="1086"/>
      <c r="P54" s="1108">
        <f>+ROUND(OTCHET!E187+OTCHET!E190,0)</f>
        <v>88837</v>
      </c>
      <c r="Q54" s="1109">
        <f>+ROUND(OTCHET!L187+OTCHET!L190,0)</f>
        <v>57619</v>
      </c>
      <c r="R54" s="1035"/>
      <c r="S54" s="1679" t="s">
        <v>1059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10709</v>
      </c>
      <c r="G55" s="1109">
        <f>+IF($P$2=0,$Q55,0)</f>
        <v>10709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10709</v>
      </c>
      <c r="O55" s="1086"/>
      <c r="P55" s="1108">
        <f>+ROUND(OTCHET!E196+OTCHET!E204,0)</f>
        <v>10709</v>
      </c>
      <c r="Q55" s="1109">
        <f>+ROUND(OTCHET!L196+OTCHET!L204,0)</f>
        <v>10709</v>
      </c>
      <c r="R55" s="1035"/>
      <c r="S55" s="1685" t="s">
        <v>1061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141271</v>
      </c>
      <c r="G56" s="1197">
        <f>+ROUND(+SUM(G51:G55),0)</f>
        <v>97658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97658</v>
      </c>
      <c r="O56" s="1086"/>
      <c r="P56" s="1196">
        <f>+ROUND(+SUM(P51:P55),0)</f>
        <v>141271</v>
      </c>
      <c r="Q56" s="1197">
        <f>+ROUND(+SUM(Q51:Q55),0)</f>
        <v>97658</v>
      </c>
      <c r="R56" s="1035"/>
      <c r="S56" s="1688" t="s">
        <v>1063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1066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19000</v>
      </c>
      <c r="G59" s="1109">
        <f>+IF($P$2=0,$Q59,0)</f>
        <v>17740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17740</v>
      </c>
      <c r="O59" s="1086"/>
      <c r="P59" s="1108">
        <f>+ROUND(+OTCHET!E275+OTCHET!E276,0)</f>
        <v>19000</v>
      </c>
      <c r="Q59" s="1109">
        <f>+ROUND(+OTCHET!L275+OTCHET!L276,0)</f>
        <v>17740</v>
      </c>
      <c r="R59" s="1035"/>
      <c r="S59" s="1679" t="s">
        <v>1068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1070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1072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19000</v>
      </c>
      <c r="G63" s="1197">
        <f>+ROUND(+SUM(G58:G61),0)</f>
        <v>17740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17740</v>
      </c>
      <c r="O63" s="1086"/>
      <c r="P63" s="1196">
        <f>+ROUND(+SUM(P58:P61),0)</f>
        <v>19000</v>
      </c>
      <c r="Q63" s="1197">
        <f>+ROUND(+SUM(Q58:Q61),0)</f>
        <v>17740</v>
      </c>
      <c r="R63" s="1035"/>
      <c r="S63" s="1688" t="s">
        <v>1076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1079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1081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1083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1086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1088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1090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1093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1095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1097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160271</v>
      </c>
      <c r="G77" s="1221">
        <f>+ROUND(G56+G63+G67+G71+G75,0)</f>
        <v>115398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115398</v>
      </c>
      <c r="O77" s="1086"/>
      <c r="P77" s="1220">
        <f>+ROUND(P56+P63+P67+P71+P75,0)</f>
        <v>160271</v>
      </c>
      <c r="Q77" s="1221">
        <f>+ROUND(Q56+Q63+Q67+Q71+Q75,0)</f>
        <v>115398</v>
      </c>
      <c r="R77" s="1035"/>
      <c r="S77" s="1703" t="s">
        <v>1099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109084</v>
      </c>
      <c r="G79" s="1097">
        <f>+IF($P$2=0,$Q79,0)</f>
        <v>61627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61627</v>
      </c>
      <c r="O79" s="1086"/>
      <c r="P79" s="1096">
        <f>+ROUND(OTCHET!E419,0)</f>
        <v>109084</v>
      </c>
      <c r="Q79" s="1097">
        <f>+ROUND(OTCHET!L419,0)</f>
        <v>61627</v>
      </c>
      <c r="R79" s="1035"/>
      <c r="S79" s="1676" t="s">
        <v>1102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9" t="s">
        <v>1104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109084</v>
      </c>
      <c r="G81" s="1231">
        <f>+ROUND(G79+G80,0)</f>
        <v>61627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61627</v>
      </c>
      <c r="O81" s="1086"/>
      <c r="P81" s="1230">
        <f>+ROUND(P79+P80,0)</f>
        <v>109084</v>
      </c>
      <c r="Q81" s="1231">
        <f>+ROUND(Q79+Q80,0)</f>
        <v>61627</v>
      </c>
      <c r="R81" s="1035"/>
      <c r="S81" s="1706" t="s">
        <v>1106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1112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1114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1116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1119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1121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1123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1125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1127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1130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1132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1134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1136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1140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1142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1144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1147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1149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1151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1154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1156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1158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1161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1163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1165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1167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1170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1174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1176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6" t="s">
        <v>1178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1181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1183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18" t="s">
        <v>1185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1" t="s">
        <v>1187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725"/>
      <c r="G134" s="1725"/>
      <c r="H134" s="1008"/>
      <c r="I134" s="1293" t="s">
        <v>1190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OP  SK</v>
      </c>
      <c r="C11" s="694"/>
      <c r="D11" s="694"/>
      <c r="E11" s="695" t="s">
        <v>955</v>
      </c>
      <c r="F11" s="696">
        <f>OTCHET!F9</f>
        <v>45291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0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Мадан</v>
      </c>
      <c r="C13" s="701"/>
      <c r="D13" s="701"/>
      <c r="E13" s="704" t="str">
        <f>+OTCHET!E12</f>
        <v>код по ЕБК:</v>
      </c>
      <c r="F13" s="232" t="str">
        <f>+OTCHET!F12</f>
        <v>7106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3"/>
      <c r="F18" s="1735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51187</v>
      </c>
      <c r="F22" s="752">
        <f>+F23+F25+F36+F37</f>
        <v>53771</v>
      </c>
      <c r="G22" s="753">
        <f>+G23+G25+G36+G37</f>
        <v>0</v>
      </c>
      <c r="H22" s="754">
        <f>+H23+H25+H36+H37</f>
        <v>53771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51187</v>
      </c>
      <c r="F25" s="771">
        <f>+F26+F30+F31+F32+F33</f>
        <v>53771</v>
      </c>
      <c r="G25" s="772">
        <f>+G26+G30+G31+G32+G33</f>
        <v>0</v>
      </c>
      <c r="H25" s="773">
        <f>+H26+H30+H31+H32+H33</f>
        <v>53771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30000</v>
      </c>
      <c r="F26" s="776">
        <f aca="true" t="shared" si="0" ref="F26:F37">+G26+H26+I26</f>
        <v>32584</v>
      </c>
      <c r="G26" s="777">
        <f>OTCHET!I74</f>
        <v>0</v>
      </c>
      <c r="H26" s="778">
        <f>OTCHET!J74</f>
        <v>32584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30000</v>
      </c>
      <c r="F28" s="788">
        <f t="shared" si="0"/>
        <v>32584</v>
      </c>
      <c r="G28" s="789">
        <f>OTCHET!I77</f>
        <v>0</v>
      </c>
      <c r="H28" s="790">
        <f>OTCHET!J77</f>
        <v>32584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21187</v>
      </c>
      <c r="F32" s="804">
        <f t="shared" si="0"/>
        <v>21187</v>
      </c>
      <c r="G32" s="805">
        <f>OTCHET!I110+OTCHET!I119+OTCHET!I135+OTCHET!I136</f>
        <v>0</v>
      </c>
      <c r="H32" s="806">
        <f>OTCHET!J110+OTCHET!J119+OTCHET!J135+OTCHET!J136</f>
        <v>21187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160271</v>
      </c>
      <c r="F38" s="836">
        <f>F39+F43+F44+F46+SUM(F48:F52)+F55</f>
        <v>115398</v>
      </c>
      <c r="G38" s="837">
        <f>G39+G43+G44+G46+SUM(G48:G52)+G55</f>
        <v>0</v>
      </c>
      <c r="H38" s="838">
        <f>H39+H43+H44+H46+SUM(H48:H52)+H55</f>
        <v>115398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99546</v>
      </c>
      <c r="F39" s="799">
        <f>SUM(F40:F42)</f>
        <v>68328</v>
      </c>
      <c r="G39" s="800">
        <f>SUM(G40:G42)</f>
        <v>0</v>
      </c>
      <c r="H39" s="801">
        <f>SUM(H40:H42)</f>
        <v>68328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83652</v>
      </c>
      <c r="F40" s="862">
        <f aca="true" t="shared" si="1" ref="F40:F55">+G40+H40+I40</f>
        <v>52443</v>
      </c>
      <c r="G40" s="863">
        <f>OTCHET!I187</f>
        <v>0</v>
      </c>
      <c r="H40" s="864">
        <f>OTCHET!J187</f>
        <v>52443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5185</v>
      </c>
      <c r="F41" s="1623">
        <f t="shared" si="1"/>
        <v>5176</v>
      </c>
      <c r="G41" s="1624">
        <f>OTCHET!I190</f>
        <v>0</v>
      </c>
      <c r="H41" s="1625">
        <f>OTCHET!J190</f>
        <v>5176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10709</v>
      </c>
      <c r="F42" s="1623">
        <f t="shared" si="1"/>
        <v>10709</v>
      </c>
      <c r="G42" s="1624">
        <f>+OTCHET!I196+OTCHET!I204</f>
        <v>0</v>
      </c>
      <c r="H42" s="1625">
        <f>+OTCHET!J196+OTCHET!J204</f>
        <v>10709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41725</v>
      </c>
      <c r="F43" s="804">
        <f t="shared" si="1"/>
        <v>29330</v>
      </c>
      <c r="G43" s="805">
        <f>+OTCHET!I205+OTCHET!I223+OTCHET!I271</f>
        <v>0</v>
      </c>
      <c r="H43" s="806">
        <f>+OTCHET!J205+OTCHET!J223+OTCHET!J271</f>
        <v>29330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19000</v>
      </c>
      <c r="F49" s="804">
        <f t="shared" si="1"/>
        <v>17740</v>
      </c>
      <c r="G49" s="805">
        <f>OTCHET!I275+OTCHET!I276+OTCHET!I284+OTCHET!I287</f>
        <v>0</v>
      </c>
      <c r="H49" s="806">
        <f>OTCHET!J275+OTCHET!J276+OTCHET!J284+OTCHET!J287</f>
        <v>17740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109084</v>
      </c>
      <c r="F56" s="881">
        <f>+F57+F58+F62</f>
        <v>61627</v>
      </c>
      <c r="G56" s="882">
        <f>+G57+G58+G62</f>
        <v>0</v>
      </c>
      <c r="H56" s="883">
        <f>+H57+H58+H62</f>
        <v>61627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109084</v>
      </c>
      <c r="F58" s="890">
        <f t="shared" si="2"/>
        <v>61627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61627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6" t="s">
        <v>972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ИЗПЪЛНЕНИЕТО НА БЮДЖЕТА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2082</v>
      </c>
      <c r="C9" s="1767"/>
      <c r="D9" s="1768"/>
      <c r="E9" s="115">
        <f>DATE($C$3,1,1)</f>
        <v>44927</v>
      </c>
      <c r="F9" s="116">
        <v>45291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декември</v>
      </c>
      <c r="G10" s="113"/>
      <c r="H10" s="114"/>
      <c r="I10" s="1836" t="s">
        <v>954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Мадан</v>
      </c>
      <c r="C12" s="1770"/>
      <c r="D12" s="1771"/>
      <c r="E12" s="118" t="s">
        <v>948</v>
      </c>
      <c r="F12" s="1571" t="s">
        <v>1537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38" t="str">
        <f>CONCATENATE("Уточнен план ",$C$3," - ПРИХОДИ")</f>
        <v>Уточнен план 2023 - ПРИХОДИ</v>
      </c>
      <c r="F19" s="1739"/>
      <c r="G19" s="1739"/>
      <c r="H19" s="1740"/>
      <c r="I19" s="1744" t="str">
        <f>CONCATENATE("Отчет ",$C$3," - ПРИХОДИ")</f>
        <v>Отчет 2023 -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462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464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2007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2008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30000</v>
      </c>
      <c r="F74" s="168">
        <f t="shared" si="13"/>
        <v>0</v>
      </c>
      <c r="G74" s="169">
        <f t="shared" si="13"/>
        <v>30000</v>
      </c>
      <c r="H74" s="170">
        <f>SUM(H75:H89)</f>
        <v>0</v>
      </c>
      <c r="I74" s="168">
        <f t="shared" si="13"/>
        <v>0</v>
      </c>
      <c r="J74" s="169">
        <f t="shared" si="13"/>
        <v>32584</v>
      </c>
      <c r="K74" s="170">
        <f>SUM(K75:K89)</f>
        <v>0</v>
      </c>
      <c r="L74" s="1365">
        <f t="shared" si="13"/>
        <v>32584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30000</v>
      </c>
      <c r="F77" s="158"/>
      <c r="G77" s="159">
        <v>30000</v>
      </c>
      <c r="H77" s="160">
        <v>0</v>
      </c>
      <c r="I77" s="158"/>
      <c r="J77" s="159">
        <v>32584</v>
      </c>
      <c r="K77" s="160">
        <v>0</v>
      </c>
      <c r="L77" s="295">
        <f t="shared" si="14"/>
        <v>32584</v>
      </c>
      <c r="M77" s="7">
        <f t="shared" si="1"/>
        <v>1</v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22481</v>
      </c>
      <c r="F110" s="168">
        <f t="shared" si="21"/>
        <v>0</v>
      </c>
      <c r="G110" s="169">
        <f t="shared" si="21"/>
        <v>22481</v>
      </c>
      <c r="H110" s="170">
        <f>SUM(H111:H118)</f>
        <v>0</v>
      </c>
      <c r="I110" s="168">
        <f t="shared" si="21"/>
        <v>0</v>
      </c>
      <c r="J110" s="169">
        <f t="shared" si="21"/>
        <v>22481</v>
      </c>
      <c r="K110" s="170">
        <f>SUM(K111:K118)</f>
        <v>0</v>
      </c>
      <c r="L110" s="1365">
        <f t="shared" si="21"/>
        <v>22481</v>
      </c>
      <c r="M110" s="7">
        <f t="shared" si="16"/>
        <v>1</v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1999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22481</v>
      </c>
      <c r="F115" s="158"/>
      <c r="G115" s="159">
        <v>22481</v>
      </c>
      <c r="H115" s="160">
        <v>0</v>
      </c>
      <c r="I115" s="158"/>
      <c r="J115" s="159">
        <v>22481</v>
      </c>
      <c r="K115" s="160">
        <v>0</v>
      </c>
      <c r="L115" s="295">
        <f t="shared" si="23"/>
        <v>22481</v>
      </c>
      <c r="M115" s="7">
        <f t="shared" si="16"/>
        <v>1</v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-1294</v>
      </c>
      <c r="F119" s="168">
        <f t="shared" si="24"/>
        <v>0</v>
      </c>
      <c r="G119" s="169">
        <f t="shared" si="24"/>
        <v>-1294</v>
      </c>
      <c r="H119" s="170">
        <f>SUM(H120:H122)</f>
        <v>0</v>
      </c>
      <c r="I119" s="168">
        <f t="shared" si="24"/>
        <v>0</v>
      </c>
      <c r="J119" s="169">
        <f t="shared" si="24"/>
        <v>-1294</v>
      </c>
      <c r="K119" s="170">
        <f>SUM(K120:K122)</f>
        <v>0</v>
      </c>
      <c r="L119" s="1365">
        <f t="shared" si="24"/>
        <v>-1294</v>
      </c>
      <c r="M119" s="7">
        <f t="shared" si="16"/>
        <v>1</v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-725</v>
      </c>
      <c r="F120" s="152"/>
      <c r="G120" s="153">
        <v>-725</v>
      </c>
      <c r="H120" s="154">
        <v>0</v>
      </c>
      <c r="I120" s="152"/>
      <c r="J120" s="153">
        <v>-725</v>
      </c>
      <c r="K120" s="154">
        <v>0</v>
      </c>
      <c r="L120" s="281">
        <f>I120+J120+K120</f>
        <v>-725</v>
      </c>
      <c r="M120" s="7">
        <f t="shared" si="16"/>
        <v>1</v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-569</v>
      </c>
      <c r="F121" s="158"/>
      <c r="G121" s="159">
        <v>-569</v>
      </c>
      <c r="H121" s="160">
        <v>0</v>
      </c>
      <c r="I121" s="158"/>
      <c r="J121" s="159">
        <v>-569</v>
      </c>
      <c r="K121" s="160">
        <v>0</v>
      </c>
      <c r="L121" s="295">
        <f>I121+J121+K121</f>
        <v>-569</v>
      </c>
      <c r="M121" s="7">
        <f t="shared" si="16"/>
        <v>1</v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51187</v>
      </c>
      <c r="F167" s="211">
        <f t="shared" si="39"/>
        <v>0</v>
      </c>
      <c r="G167" s="212">
        <f t="shared" si="39"/>
        <v>51187</v>
      </c>
      <c r="H167" s="213">
        <f t="shared" si="39"/>
        <v>0</v>
      </c>
      <c r="I167" s="211">
        <f t="shared" si="39"/>
        <v>0</v>
      </c>
      <c r="J167" s="212">
        <f t="shared" si="39"/>
        <v>53771</v>
      </c>
      <c r="K167" s="213">
        <f t="shared" si="39"/>
        <v>0</v>
      </c>
      <c r="L167" s="210">
        <f t="shared" si="39"/>
        <v>53771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ИЗПЪЛНЕНИЕТО НА БЮДЖЕТА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OP  SK</v>
      </c>
      <c r="C176" s="1779"/>
      <c r="D176" s="1780"/>
      <c r="E176" s="115">
        <f>$E$9</f>
        <v>44927</v>
      </c>
      <c r="F176" s="226">
        <f>$F$9</f>
        <v>45291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Мадан</v>
      </c>
      <c r="C179" s="1770"/>
      <c r="D179" s="1771"/>
      <c r="E179" s="231" t="s">
        <v>876</v>
      </c>
      <c r="F179" s="232" t="str">
        <f>$F$12</f>
        <v>7106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38" t="str">
        <f>CONCATENATE("Уточнен план ",$C$3," - РАЗХОДИ - рекапитулация")</f>
        <v>Уточнен план 2023 -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2023 -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730</v>
      </c>
      <c r="D187" s="1777"/>
      <c r="E187" s="273">
        <f aca="true" t="shared" si="41" ref="E187:L187">SUMIF($B$607:$B$12313,$B187,E$607:E$12313)</f>
        <v>83652</v>
      </c>
      <c r="F187" s="274">
        <f t="shared" si="41"/>
        <v>0</v>
      </c>
      <c r="G187" s="275">
        <f t="shared" si="41"/>
        <v>83652</v>
      </c>
      <c r="H187" s="276">
        <f t="shared" si="41"/>
        <v>0</v>
      </c>
      <c r="I187" s="274">
        <f t="shared" si="41"/>
        <v>0</v>
      </c>
      <c r="J187" s="275">
        <f t="shared" si="41"/>
        <v>52443</v>
      </c>
      <c r="K187" s="276">
        <f t="shared" si="41"/>
        <v>0</v>
      </c>
      <c r="L187" s="273">
        <f t="shared" si="41"/>
        <v>52443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83652</v>
      </c>
      <c r="F188" s="282">
        <f t="shared" si="43"/>
        <v>0</v>
      </c>
      <c r="G188" s="283">
        <f t="shared" si="43"/>
        <v>83652</v>
      </c>
      <c r="H188" s="284">
        <f t="shared" si="43"/>
        <v>0</v>
      </c>
      <c r="I188" s="282">
        <f t="shared" si="43"/>
        <v>0</v>
      </c>
      <c r="J188" s="283">
        <f t="shared" si="43"/>
        <v>52443</v>
      </c>
      <c r="K188" s="284">
        <f t="shared" si="43"/>
        <v>0</v>
      </c>
      <c r="L188" s="281">
        <f t="shared" si="43"/>
        <v>52443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733</v>
      </c>
      <c r="D190" s="1773"/>
      <c r="E190" s="273">
        <f aca="true" t="shared" si="44" ref="E190:L190">SUMIF($B$607:$B$12313,$B190,E$607:E$12313)</f>
        <v>5185</v>
      </c>
      <c r="F190" s="274">
        <f t="shared" si="44"/>
        <v>0</v>
      </c>
      <c r="G190" s="275">
        <f t="shared" si="44"/>
        <v>5185</v>
      </c>
      <c r="H190" s="276">
        <f t="shared" si="44"/>
        <v>0</v>
      </c>
      <c r="I190" s="274">
        <f t="shared" si="44"/>
        <v>0</v>
      </c>
      <c r="J190" s="275">
        <f t="shared" si="44"/>
        <v>5176</v>
      </c>
      <c r="K190" s="276">
        <f t="shared" si="44"/>
        <v>0</v>
      </c>
      <c r="L190" s="273">
        <f t="shared" si="44"/>
        <v>5176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5030</v>
      </c>
      <c r="F192" s="296">
        <f t="shared" si="45"/>
        <v>0</v>
      </c>
      <c r="G192" s="297">
        <f t="shared" si="45"/>
        <v>5030</v>
      </c>
      <c r="H192" s="298">
        <f t="shared" si="45"/>
        <v>0</v>
      </c>
      <c r="I192" s="296">
        <f t="shared" si="45"/>
        <v>0</v>
      </c>
      <c r="J192" s="297">
        <f t="shared" si="45"/>
        <v>5021</v>
      </c>
      <c r="K192" s="298">
        <f t="shared" si="45"/>
        <v>0</v>
      </c>
      <c r="L192" s="295">
        <f t="shared" si="45"/>
        <v>5021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155</v>
      </c>
      <c r="F194" s="296">
        <f t="shared" si="45"/>
        <v>0</v>
      </c>
      <c r="G194" s="297">
        <f t="shared" si="45"/>
        <v>155</v>
      </c>
      <c r="H194" s="298">
        <f t="shared" si="45"/>
        <v>0</v>
      </c>
      <c r="I194" s="296">
        <f t="shared" si="45"/>
        <v>0</v>
      </c>
      <c r="J194" s="297">
        <f t="shared" si="45"/>
        <v>155</v>
      </c>
      <c r="K194" s="298">
        <f t="shared" si="45"/>
        <v>0</v>
      </c>
      <c r="L194" s="295">
        <f t="shared" si="45"/>
        <v>155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189</v>
      </c>
      <c r="D196" s="1775"/>
      <c r="E196" s="273">
        <f aca="true" t="shared" si="46" ref="E196:L196">SUMIF($B$607:$B$12313,$B196,E$607:E$12313)</f>
        <v>10709</v>
      </c>
      <c r="F196" s="274">
        <f t="shared" si="46"/>
        <v>0</v>
      </c>
      <c r="G196" s="275">
        <f t="shared" si="46"/>
        <v>10709</v>
      </c>
      <c r="H196" s="276">
        <f t="shared" si="46"/>
        <v>0</v>
      </c>
      <c r="I196" s="274">
        <f t="shared" si="46"/>
        <v>0</v>
      </c>
      <c r="J196" s="275">
        <f t="shared" si="46"/>
        <v>10709</v>
      </c>
      <c r="K196" s="276">
        <f t="shared" si="46"/>
        <v>0</v>
      </c>
      <c r="L196" s="273">
        <f t="shared" si="46"/>
        <v>10709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6421</v>
      </c>
      <c r="F197" s="282">
        <f t="shared" si="47"/>
        <v>0</v>
      </c>
      <c r="G197" s="283">
        <f t="shared" si="47"/>
        <v>6421</v>
      </c>
      <c r="H197" s="284">
        <f t="shared" si="47"/>
        <v>0</v>
      </c>
      <c r="I197" s="282">
        <f t="shared" si="47"/>
        <v>0</v>
      </c>
      <c r="J197" s="283">
        <f t="shared" si="47"/>
        <v>6421</v>
      </c>
      <c r="K197" s="284">
        <f t="shared" si="47"/>
        <v>0</v>
      </c>
      <c r="L197" s="281">
        <f t="shared" si="47"/>
        <v>6421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2710</v>
      </c>
      <c r="F200" s="296">
        <f t="shared" si="47"/>
        <v>0</v>
      </c>
      <c r="G200" s="297">
        <f t="shared" si="47"/>
        <v>2710</v>
      </c>
      <c r="H200" s="298">
        <f t="shared" si="47"/>
        <v>0</v>
      </c>
      <c r="I200" s="296">
        <f t="shared" si="47"/>
        <v>0</v>
      </c>
      <c r="J200" s="297">
        <f t="shared" si="47"/>
        <v>2710</v>
      </c>
      <c r="K200" s="298">
        <f t="shared" si="47"/>
        <v>0</v>
      </c>
      <c r="L200" s="295">
        <f t="shared" si="47"/>
        <v>2710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1578</v>
      </c>
      <c r="F201" s="296">
        <f t="shared" si="47"/>
        <v>0</v>
      </c>
      <c r="G201" s="297">
        <f t="shared" si="47"/>
        <v>1578</v>
      </c>
      <c r="H201" s="298">
        <f t="shared" si="47"/>
        <v>0</v>
      </c>
      <c r="I201" s="296">
        <f t="shared" si="47"/>
        <v>0</v>
      </c>
      <c r="J201" s="297">
        <f t="shared" si="47"/>
        <v>1578</v>
      </c>
      <c r="K201" s="298">
        <f t="shared" si="47"/>
        <v>0</v>
      </c>
      <c r="L201" s="295">
        <f t="shared" si="47"/>
        <v>1578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194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195</v>
      </c>
      <c r="D205" s="1773"/>
      <c r="E205" s="310">
        <f t="shared" si="48"/>
        <v>35112</v>
      </c>
      <c r="F205" s="274">
        <f t="shared" si="48"/>
        <v>0</v>
      </c>
      <c r="G205" s="275">
        <f t="shared" si="48"/>
        <v>35112</v>
      </c>
      <c r="H205" s="276">
        <f t="shared" si="48"/>
        <v>0</v>
      </c>
      <c r="I205" s="274">
        <f t="shared" si="48"/>
        <v>0</v>
      </c>
      <c r="J205" s="275">
        <f t="shared" si="48"/>
        <v>25474</v>
      </c>
      <c r="K205" s="276">
        <f t="shared" si="48"/>
        <v>0</v>
      </c>
      <c r="L205" s="310">
        <f t="shared" si="48"/>
        <v>25474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16500</v>
      </c>
      <c r="F210" s="296">
        <f t="shared" si="49"/>
        <v>0</v>
      </c>
      <c r="G210" s="297">
        <f t="shared" si="49"/>
        <v>16500</v>
      </c>
      <c r="H210" s="298">
        <f t="shared" si="49"/>
        <v>0</v>
      </c>
      <c r="I210" s="296">
        <f t="shared" si="49"/>
        <v>0</v>
      </c>
      <c r="J210" s="297">
        <f t="shared" si="49"/>
        <v>6889</v>
      </c>
      <c r="K210" s="298">
        <f t="shared" si="49"/>
        <v>0</v>
      </c>
      <c r="L210" s="295">
        <f t="shared" si="49"/>
        <v>6889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9843</v>
      </c>
      <c r="F211" s="315">
        <f t="shared" si="49"/>
        <v>0</v>
      </c>
      <c r="G211" s="316">
        <f t="shared" si="49"/>
        <v>9843</v>
      </c>
      <c r="H211" s="317">
        <f t="shared" si="49"/>
        <v>0</v>
      </c>
      <c r="I211" s="315">
        <f t="shared" si="49"/>
        <v>0</v>
      </c>
      <c r="J211" s="316">
        <f t="shared" si="49"/>
        <v>9843</v>
      </c>
      <c r="K211" s="317">
        <f t="shared" si="49"/>
        <v>0</v>
      </c>
      <c r="L211" s="314">
        <f t="shared" si="49"/>
        <v>9843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5269</v>
      </c>
      <c r="F212" s="321">
        <f t="shared" si="49"/>
        <v>0</v>
      </c>
      <c r="G212" s="322">
        <f t="shared" si="49"/>
        <v>5269</v>
      </c>
      <c r="H212" s="323">
        <f t="shared" si="49"/>
        <v>0</v>
      </c>
      <c r="I212" s="321">
        <f t="shared" si="49"/>
        <v>0</v>
      </c>
      <c r="J212" s="322">
        <f t="shared" si="49"/>
        <v>5269</v>
      </c>
      <c r="K212" s="323">
        <f t="shared" si="49"/>
        <v>0</v>
      </c>
      <c r="L212" s="320">
        <f t="shared" si="49"/>
        <v>5269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3500</v>
      </c>
      <c r="F217" s="321">
        <f t="shared" si="50"/>
        <v>0</v>
      </c>
      <c r="G217" s="322">
        <f t="shared" si="50"/>
        <v>3500</v>
      </c>
      <c r="H217" s="323">
        <f t="shared" si="50"/>
        <v>0</v>
      </c>
      <c r="I217" s="321">
        <f t="shared" si="50"/>
        <v>0</v>
      </c>
      <c r="J217" s="322">
        <f t="shared" si="50"/>
        <v>3473</v>
      </c>
      <c r="K217" s="323">
        <f t="shared" si="50"/>
        <v>0</v>
      </c>
      <c r="L217" s="320">
        <f t="shared" si="50"/>
        <v>3473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266</v>
      </c>
      <c r="D223" s="1784"/>
      <c r="E223" s="310">
        <f aca="true" t="shared" si="51" ref="E223:L223">SUMIF($B$607:$B$12313,$B223,E$607:E$12313)</f>
        <v>6613</v>
      </c>
      <c r="F223" s="274">
        <f t="shared" si="51"/>
        <v>0</v>
      </c>
      <c r="G223" s="275">
        <f t="shared" si="51"/>
        <v>6613</v>
      </c>
      <c r="H223" s="276">
        <f t="shared" si="51"/>
        <v>0</v>
      </c>
      <c r="I223" s="274">
        <f t="shared" si="51"/>
        <v>0</v>
      </c>
      <c r="J223" s="275">
        <f t="shared" si="51"/>
        <v>3856</v>
      </c>
      <c r="K223" s="276">
        <f t="shared" si="51"/>
        <v>0</v>
      </c>
      <c r="L223" s="310">
        <f t="shared" si="51"/>
        <v>3856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-2757</v>
      </c>
      <c r="K224" s="284">
        <f t="shared" si="52"/>
        <v>0</v>
      </c>
      <c r="L224" s="281">
        <f t="shared" si="52"/>
        <v>-2757</v>
      </c>
      <c r="M224" s="7">
        <f t="shared" si="42"/>
        <v>1</v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6613</v>
      </c>
      <c r="F225" s="296">
        <f t="shared" si="52"/>
        <v>0</v>
      </c>
      <c r="G225" s="297">
        <f t="shared" si="52"/>
        <v>6613</v>
      </c>
      <c r="H225" s="298">
        <f t="shared" si="52"/>
        <v>0</v>
      </c>
      <c r="I225" s="296">
        <f t="shared" si="52"/>
        <v>0</v>
      </c>
      <c r="J225" s="297">
        <f t="shared" si="52"/>
        <v>6613</v>
      </c>
      <c r="K225" s="298">
        <f t="shared" si="52"/>
        <v>0</v>
      </c>
      <c r="L225" s="295">
        <f t="shared" si="52"/>
        <v>6613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708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214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216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217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218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1643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219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228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229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230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231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1648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1645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1646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241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267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242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243</v>
      </c>
      <c r="D276" s="1788"/>
      <c r="E276" s="310">
        <f t="shared" si="68"/>
        <v>19000</v>
      </c>
      <c r="F276" s="274">
        <f t="shared" si="68"/>
        <v>0</v>
      </c>
      <c r="G276" s="275">
        <f t="shared" si="68"/>
        <v>19000</v>
      </c>
      <c r="H276" s="276">
        <f t="shared" si="68"/>
        <v>0</v>
      </c>
      <c r="I276" s="274">
        <f t="shared" si="68"/>
        <v>0</v>
      </c>
      <c r="J276" s="275">
        <f t="shared" si="68"/>
        <v>17740</v>
      </c>
      <c r="K276" s="276">
        <f t="shared" si="68"/>
        <v>0</v>
      </c>
      <c r="L276" s="310">
        <f t="shared" si="68"/>
        <v>17740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19000</v>
      </c>
      <c r="F279" s="296">
        <f t="shared" si="69"/>
        <v>0</v>
      </c>
      <c r="G279" s="297">
        <f t="shared" si="69"/>
        <v>19000</v>
      </c>
      <c r="H279" s="298">
        <f t="shared" si="69"/>
        <v>0</v>
      </c>
      <c r="I279" s="296">
        <f t="shared" si="69"/>
        <v>0</v>
      </c>
      <c r="J279" s="297">
        <f t="shared" si="69"/>
        <v>17740</v>
      </c>
      <c r="K279" s="298">
        <f t="shared" si="69"/>
        <v>0</v>
      </c>
      <c r="L279" s="295">
        <f t="shared" si="69"/>
        <v>17740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614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672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673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160271</v>
      </c>
      <c r="F301" s="396">
        <f t="shared" si="77"/>
        <v>0</v>
      </c>
      <c r="G301" s="397">
        <f t="shared" si="77"/>
        <v>160271</v>
      </c>
      <c r="H301" s="398">
        <f t="shared" si="77"/>
        <v>0</v>
      </c>
      <c r="I301" s="396">
        <f t="shared" si="77"/>
        <v>0</v>
      </c>
      <c r="J301" s="397">
        <f t="shared" si="77"/>
        <v>115398</v>
      </c>
      <c r="K301" s="398">
        <f t="shared" si="77"/>
        <v>0</v>
      </c>
      <c r="L301" s="395">
        <f t="shared" si="77"/>
        <v>115398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ИЗПЪЛНЕНИЕТО НА БЮДЖЕТА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OP  SK</v>
      </c>
      <c r="C350" s="1779"/>
      <c r="D350" s="1780"/>
      <c r="E350" s="115">
        <f>$E$9</f>
        <v>44927</v>
      </c>
      <c r="F350" s="407">
        <f>$F$9</f>
        <v>45291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Мадан</v>
      </c>
      <c r="C353" s="1770"/>
      <c r="D353" s="1771"/>
      <c r="E353" s="410" t="s">
        <v>876</v>
      </c>
      <c r="F353" s="232" t="str">
        <f>$F$12</f>
        <v>7106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0" t="str">
        <f>CONCATENATE("Уточнен план ",$C$3," - ТРАНСФЕРИ и ВРЕМ. БЕЗЛ. ЗАЕМИ")</f>
        <v>Уточнен план 2023 -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2023 -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270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281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303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247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248</v>
      </c>
      <c r="D391" s="1800"/>
      <c r="E391" s="1367">
        <f aca="true" t="shared" si="87" ref="E391:L391">SUM(E392:E395)</f>
        <v>109084</v>
      </c>
      <c r="F391" s="455">
        <f t="shared" si="87"/>
        <v>0</v>
      </c>
      <c r="G391" s="469">
        <f t="shared" si="87"/>
        <v>109084</v>
      </c>
      <c r="H391" s="441">
        <f>SUM(H392:H395)</f>
        <v>0</v>
      </c>
      <c r="I391" s="455">
        <f t="shared" si="87"/>
        <v>0</v>
      </c>
      <c r="J391" s="440">
        <f t="shared" si="87"/>
        <v>61627</v>
      </c>
      <c r="K391" s="441">
        <f>SUM(K392:K395)</f>
        <v>0</v>
      </c>
      <c r="L391" s="1367">
        <f t="shared" si="87"/>
        <v>61627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109084</v>
      </c>
      <c r="F395" s="173"/>
      <c r="G395" s="174">
        <v>109084</v>
      </c>
      <c r="H395" s="175">
        <v>0</v>
      </c>
      <c r="I395" s="173"/>
      <c r="J395" s="174">
        <v>61627</v>
      </c>
      <c r="K395" s="175">
        <v>0</v>
      </c>
      <c r="L395" s="1377">
        <f>I395+J395+K395</f>
        <v>61627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250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251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907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667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668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686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254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109084</v>
      </c>
      <c r="F419" s="491">
        <f t="shared" si="95"/>
        <v>0</v>
      </c>
      <c r="G419" s="492">
        <f t="shared" si="95"/>
        <v>109084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61627</v>
      </c>
      <c r="K419" s="511">
        <f>SUM(K361,K375,K383,K388,K391,K396,K399,K402,K405,K406,K409,K412)</f>
        <v>0</v>
      </c>
      <c r="L419" s="508">
        <f t="shared" si="95"/>
        <v>61627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753</v>
      </c>
      <c r="D422" s="1800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691</v>
      </c>
      <c r="D423" s="1800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255</v>
      </c>
      <c r="D424" s="1800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670</v>
      </c>
      <c r="D425" s="1800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911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ИЗПЪЛНЕНИЕТО НА БЮДЖЕТА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OP  SK</v>
      </c>
      <c r="C435" s="1779"/>
      <c r="D435" s="1780"/>
      <c r="E435" s="115">
        <f>$E$9</f>
        <v>44927</v>
      </c>
      <c r="F435" s="407">
        <f>$F$9</f>
        <v>45291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Мадан</v>
      </c>
      <c r="C438" s="1770"/>
      <c r="D438" s="1771"/>
      <c r="E438" s="410" t="s">
        <v>876</v>
      </c>
      <c r="F438" s="232" t="str">
        <f>$F$12</f>
        <v>7106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2023 - БЮДЖЕТНО САЛДО</v>
      </c>
      <c r="F442" s="1739"/>
      <c r="G442" s="1739"/>
      <c r="H442" s="1740"/>
      <c r="I442" s="1756" t="str">
        <f>CONCATENATE("Отчет ",$C$3," - БЮДЖЕТНО САЛДО")</f>
        <v>Отчет 2023 -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ИЗПЪЛНЕНИЕТО НА БЮДЖЕТА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OP  SK</v>
      </c>
      <c r="C451" s="1779"/>
      <c r="D451" s="1780"/>
      <c r="E451" s="115">
        <f>$E$9</f>
        <v>44927</v>
      </c>
      <c r="F451" s="407">
        <f>$F$9</f>
        <v>45291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Мадан</v>
      </c>
      <c r="C454" s="1770"/>
      <c r="D454" s="1771"/>
      <c r="E454" s="410" t="s">
        <v>876</v>
      </c>
      <c r="F454" s="232" t="str">
        <f>$F$12</f>
        <v>7106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1" t="str">
        <f>CONCATENATE("Уточнен план ",$C$3," - ФИНАНСИРАНЕ НА БЮДЖЕТНО САЛДО")</f>
        <v>Уточнен план 2023 -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2023 -ФИНАНСИРАНЕ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754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757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1941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760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767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915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920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921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922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923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307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925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926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927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928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937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0</v>
      </c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942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819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863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866</v>
      </c>
      <c r="C604" s="1827"/>
      <c r="D604" s="661" t="s">
        <v>867</v>
      </c>
      <c r="E604" s="662"/>
      <c r="F604" s="663"/>
      <c r="G604" s="1828" t="s">
        <v>863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868</v>
      </c>
      <c r="E605" s="665"/>
      <c r="F605" s="666"/>
      <c r="G605" s="667" t="s">
        <v>869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08" t="str">
        <f>$B$7</f>
        <v>ОТЧЕТНИ ДАННИ ПО ЕБК ЗА ИЗПЪЛНЕНИЕТО НА БЮДЖЕТА</v>
      </c>
      <c r="C621" s="1809"/>
      <c r="D621" s="180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78" t="str">
        <f>$B$9</f>
        <v>OP  SK</v>
      </c>
      <c r="C623" s="1779"/>
      <c r="D623" s="1780"/>
      <c r="E623" s="115">
        <f>$E$9</f>
        <v>44927</v>
      </c>
      <c r="F623" s="226">
        <f>$F$9</f>
        <v>45291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Мадан</v>
      </c>
      <c r="C626" s="1842"/>
      <c r="D626" s="1843"/>
      <c r="E626" s="410" t="s">
        <v>876</v>
      </c>
      <c r="F626" s="1349" t="str">
        <f>$F$12</f>
        <v>7106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877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38" t="str">
        <f>CONCATENATE("Уточнен план ",$C$3)</f>
        <v>Уточнен план 2023</v>
      </c>
      <c r="F630" s="1739"/>
      <c r="G630" s="1739"/>
      <c r="H630" s="1740"/>
      <c r="I630" s="1747" t="str">
        <f>CONCATENATE("Отчет ",$C$3)</f>
        <v>Отчет 2023</v>
      </c>
      <c r="J630" s="1748"/>
      <c r="K630" s="1748"/>
      <c r="L630" s="174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4" t="s">
        <v>2009</v>
      </c>
      <c r="C634" s="1447">
        <f>VLOOKUP(D635,EBK_DEIN2,2,FALSE)</f>
        <v>7714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7714</v>
      </c>
      <c r="D635" s="1441" t="s">
        <v>486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6" t="s">
        <v>730</v>
      </c>
      <c r="D637" s="1777"/>
      <c r="E637" s="273">
        <f aca="true" t="shared" si="134" ref="E637:L637">SUM(E638:E639)</f>
        <v>83652</v>
      </c>
      <c r="F637" s="274">
        <f t="shared" si="134"/>
        <v>0</v>
      </c>
      <c r="G637" s="275">
        <f t="shared" si="134"/>
        <v>83652</v>
      </c>
      <c r="H637" s="276">
        <f t="shared" si="134"/>
        <v>0</v>
      </c>
      <c r="I637" s="274">
        <f t="shared" si="134"/>
        <v>0</v>
      </c>
      <c r="J637" s="275">
        <f t="shared" si="134"/>
        <v>52443</v>
      </c>
      <c r="K637" s="276">
        <f t="shared" si="134"/>
        <v>0</v>
      </c>
      <c r="L637" s="273">
        <f t="shared" si="134"/>
        <v>52443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83652</v>
      </c>
      <c r="F638" s="152"/>
      <c r="G638" s="153">
        <v>83652</v>
      </c>
      <c r="H638" s="1407"/>
      <c r="I638" s="152"/>
      <c r="J638" s="153">
        <v>52443</v>
      </c>
      <c r="K638" s="1407"/>
      <c r="L638" s="281">
        <f>I638+J638+K638</f>
        <v>52443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2" t="s">
        <v>733</v>
      </c>
      <c r="D640" s="1773"/>
      <c r="E640" s="273">
        <f aca="true" t="shared" si="136" ref="E640:L640">SUM(E641:E645)</f>
        <v>5185</v>
      </c>
      <c r="F640" s="274">
        <f t="shared" si="136"/>
        <v>0</v>
      </c>
      <c r="G640" s="275">
        <f t="shared" si="136"/>
        <v>5185</v>
      </c>
      <c r="H640" s="276">
        <f t="shared" si="136"/>
        <v>0</v>
      </c>
      <c r="I640" s="274">
        <f t="shared" si="136"/>
        <v>0</v>
      </c>
      <c r="J640" s="275">
        <f t="shared" si="136"/>
        <v>5176</v>
      </c>
      <c r="K640" s="276">
        <f t="shared" si="136"/>
        <v>0</v>
      </c>
      <c r="L640" s="273">
        <f t="shared" si="136"/>
        <v>5176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5030</v>
      </c>
      <c r="F642" s="158"/>
      <c r="G642" s="159">
        <v>5030</v>
      </c>
      <c r="H642" s="1409"/>
      <c r="I642" s="158"/>
      <c r="J642" s="159">
        <v>5021</v>
      </c>
      <c r="K642" s="1409"/>
      <c r="L642" s="295">
        <f>I642+J642+K642</f>
        <v>5021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155</v>
      </c>
      <c r="F644" s="158"/>
      <c r="G644" s="159">
        <v>155</v>
      </c>
      <c r="H644" s="1409"/>
      <c r="I644" s="158"/>
      <c r="J644" s="159">
        <v>155</v>
      </c>
      <c r="K644" s="1409"/>
      <c r="L644" s="295">
        <f>I644+J644+K644</f>
        <v>155</v>
      </c>
      <c r="M644" s="12">
        <f t="shared" si="135"/>
        <v>1</v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4" t="s">
        <v>189</v>
      </c>
      <c r="D646" s="1775"/>
      <c r="E646" s="273">
        <f aca="true" t="shared" si="137" ref="E646:L646">SUM(E647:E653)</f>
        <v>10709</v>
      </c>
      <c r="F646" s="274">
        <f t="shared" si="137"/>
        <v>0</v>
      </c>
      <c r="G646" s="275">
        <f t="shared" si="137"/>
        <v>10709</v>
      </c>
      <c r="H646" s="276">
        <f t="shared" si="137"/>
        <v>0</v>
      </c>
      <c r="I646" s="274">
        <f t="shared" si="137"/>
        <v>0</v>
      </c>
      <c r="J646" s="275">
        <f t="shared" si="137"/>
        <v>10709</v>
      </c>
      <c r="K646" s="276">
        <f t="shared" si="137"/>
        <v>0</v>
      </c>
      <c r="L646" s="273">
        <f t="shared" si="137"/>
        <v>10709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6421</v>
      </c>
      <c r="F647" s="152"/>
      <c r="G647" s="153">
        <v>6421</v>
      </c>
      <c r="H647" s="1407"/>
      <c r="I647" s="152"/>
      <c r="J647" s="153">
        <v>6421</v>
      </c>
      <c r="K647" s="1407"/>
      <c r="L647" s="281">
        <f aca="true" t="shared" si="139" ref="L647:L654">I647+J647+K647</f>
        <v>6421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895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857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2710</v>
      </c>
      <c r="F650" s="158"/>
      <c r="G650" s="159">
        <v>2710</v>
      </c>
      <c r="H650" s="1409"/>
      <c r="I650" s="158"/>
      <c r="J650" s="159">
        <v>2710</v>
      </c>
      <c r="K650" s="1409"/>
      <c r="L650" s="295">
        <f t="shared" si="139"/>
        <v>2710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1578</v>
      </c>
      <c r="F651" s="158"/>
      <c r="G651" s="159">
        <v>1578</v>
      </c>
      <c r="H651" s="1409"/>
      <c r="I651" s="158"/>
      <c r="J651" s="159">
        <v>1578</v>
      </c>
      <c r="K651" s="1409"/>
      <c r="L651" s="295">
        <f t="shared" si="139"/>
        <v>1578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859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5" t="s">
        <v>194</v>
      </c>
      <c r="D654" s="1786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2" t="s">
        <v>195</v>
      </c>
      <c r="D655" s="1773"/>
      <c r="E655" s="310">
        <f aca="true" t="shared" si="140" ref="E655:L655">SUM(E656:E672)</f>
        <v>35112</v>
      </c>
      <c r="F655" s="274">
        <f t="shared" si="140"/>
        <v>0</v>
      </c>
      <c r="G655" s="275">
        <f t="shared" si="140"/>
        <v>35112</v>
      </c>
      <c r="H655" s="276">
        <f t="shared" si="140"/>
        <v>0</v>
      </c>
      <c r="I655" s="274">
        <f t="shared" si="140"/>
        <v>0</v>
      </c>
      <c r="J655" s="275">
        <f t="shared" si="140"/>
        <v>25474</v>
      </c>
      <c r="K655" s="276">
        <f t="shared" si="140"/>
        <v>0</v>
      </c>
      <c r="L655" s="310">
        <f t="shared" si="140"/>
        <v>25474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16500</v>
      </c>
      <c r="F660" s="158"/>
      <c r="G660" s="159">
        <v>16500</v>
      </c>
      <c r="H660" s="1409"/>
      <c r="I660" s="158"/>
      <c r="J660" s="159">
        <v>6889</v>
      </c>
      <c r="K660" s="1409"/>
      <c r="L660" s="295">
        <f t="shared" si="142"/>
        <v>6889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9843</v>
      </c>
      <c r="F661" s="164"/>
      <c r="G661" s="165">
        <v>9843</v>
      </c>
      <c r="H661" s="1408"/>
      <c r="I661" s="164"/>
      <c r="J661" s="165">
        <v>9843</v>
      </c>
      <c r="K661" s="1408"/>
      <c r="L661" s="314">
        <f t="shared" si="142"/>
        <v>9843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5269</v>
      </c>
      <c r="F662" s="450"/>
      <c r="G662" s="451">
        <v>5269</v>
      </c>
      <c r="H662" s="1417"/>
      <c r="I662" s="450"/>
      <c r="J662" s="451">
        <v>5269</v>
      </c>
      <c r="K662" s="1417"/>
      <c r="L662" s="320">
        <f t="shared" si="142"/>
        <v>5269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860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3500</v>
      </c>
      <c r="F667" s="450"/>
      <c r="G667" s="451">
        <v>3500</v>
      </c>
      <c r="H667" s="1417"/>
      <c r="I667" s="450"/>
      <c r="J667" s="451">
        <v>3473</v>
      </c>
      <c r="K667" s="1417"/>
      <c r="L667" s="320">
        <f t="shared" si="142"/>
        <v>3473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787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>
        <v>0</v>
      </c>
      <c r="H672" s="1410"/>
      <c r="I672" s="173"/>
      <c r="J672" s="174">
        <v>0</v>
      </c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3" t="s">
        <v>266</v>
      </c>
      <c r="D673" s="1784"/>
      <c r="E673" s="310">
        <f aca="true" t="shared" si="144" ref="E673:L673">SUM(E674:E676)</f>
        <v>6613</v>
      </c>
      <c r="F673" s="274">
        <f t="shared" si="144"/>
        <v>0</v>
      </c>
      <c r="G673" s="275">
        <f t="shared" si="144"/>
        <v>6613</v>
      </c>
      <c r="H673" s="276">
        <f t="shared" si="144"/>
        <v>0</v>
      </c>
      <c r="I673" s="274">
        <f t="shared" si="144"/>
        <v>0</v>
      </c>
      <c r="J673" s="275">
        <f t="shared" si="144"/>
        <v>3856</v>
      </c>
      <c r="K673" s="276">
        <f t="shared" si="144"/>
        <v>0</v>
      </c>
      <c r="L673" s="310">
        <f t="shared" si="144"/>
        <v>3856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>
        <v>-2757</v>
      </c>
      <c r="K674" s="1407"/>
      <c r="L674" s="281">
        <f>I674+J674+K674</f>
        <v>-2757</v>
      </c>
      <c r="M674" s="12">
        <f t="shared" si="143"/>
        <v>1</v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6613</v>
      </c>
      <c r="F675" s="158"/>
      <c r="G675" s="159">
        <v>6613</v>
      </c>
      <c r="H675" s="1409"/>
      <c r="I675" s="158"/>
      <c r="J675" s="159">
        <v>6613</v>
      </c>
      <c r="K675" s="1409"/>
      <c r="L675" s="295">
        <f>I675+J675+K675</f>
        <v>6613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3" t="s">
        <v>708</v>
      </c>
      <c r="D677" s="178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3" t="s">
        <v>214</v>
      </c>
      <c r="D683" s="178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3" t="s">
        <v>216</v>
      </c>
      <c r="D686" s="1784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9" t="s">
        <v>217</v>
      </c>
      <c r="D687" s="1790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9" t="s">
        <v>218</v>
      </c>
      <c r="D688" s="1790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9" t="s">
        <v>1647</v>
      </c>
      <c r="D689" s="1790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3" t="s">
        <v>219</v>
      </c>
      <c r="D690" s="178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1644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2002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3" t="s">
        <v>228</v>
      </c>
      <c r="D705" s="1784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3" t="s">
        <v>229</v>
      </c>
      <c r="D706" s="1784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3" t="s">
        <v>230</v>
      </c>
      <c r="D707" s="1784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3" t="s">
        <v>231</v>
      </c>
      <c r="D708" s="178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3" t="s">
        <v>1648</v>
      </c>
      <c r="D715" s="178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3" t="s">
        <v>1645</v>
      </c>
      <c r="D719" s="1784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3" t="s">
        <v>1646</v>
      </c>
      <c r="D720" s="1784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9" t="s">
        <v>241</v>
      </c>
      <c r="D721" s="1790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3" t="s">
        <v>267</v>
      </c>
      <c r="D722" s="178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7" t="s">
        <v>242</v>
      </c>
      <c r="D725" s="1788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7" t="s">
        <v>243</v>
      </c>
      <c r="D726" s="1788"/>
      <c r="E726" s="310">
        <f aca="true" t="shared" si="163" ref="E726:L726">SUM(E727:E733)</f>
        <v>19000</v>
      </c>
      <c r="F726" s="274">
        <f t="shared" si="163"/>
        <v>0</v>
      </c>
      <c r="G726" s="275">
        <f t="shared" si="163"/>
        <v>19000</v>
      </c>
      <c r="H726" s="276">
        <f t="shared" si="163"/>
        <v>0</v>
      </c>
      <c r="I726" s="274">
        <f t="shared" si="163"/>
        <v>0</v>
      </c>
      <c r="J726" s="275">
        <f t="shared" si="163"/>
        <v>17740</v>
      </c>
      <c r="K726" s="276">
        <f t="shared" si="163"/>
        <v>0</v>
      </c>
      <c r="L726" s="310">
        <f t="shared" si="163"/>
        <v>17740</v>
      </c>
      <c r="M726" s="12">
        <f t="shared" si="155"/>
        <v>1</v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19000</v>
      </c>
      <c r="F729" s="158"/>
      <c r="G729" s="159">
        <v>19000</v>
      </c>
      <c r="H729" s="1409"/>
      <c r="I729" s="158"/>
      <c r="J729" s="159">
        <v>17740</v>
      </c>
      <c r="K729" s="1409"/>
      <c r="L729" s="295">
        <f t="shared" si="165"/>
        <v>17740</v>
      </c>
      <c r="M729" s="12">
        <f t="shared" si="155"/>
        <v>1</v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7" t="s">
        <v>614</v>
      </c>
      <c r="D734" s="178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7" t="s">
        <v>672</v>
      </c>
      <c r="D737" s="1788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3" t="s">
        <v>673</v>
      </c>
      <c r="D738" s="178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1" t="s">
        <v>900</v>
      </c>
      <c r="D743" s="1792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3" t="s">
        <v>681</v>
      </c>
      <c r="D747" s="1794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3" t="s">
        <v>681</v>
      </c>
      <c r="D748" s="1794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160271</v>
      </c>
      <c r="F752" s="396">
        <f t="shared" si="169"/>
        <v>0</v>
      </c>
      <c r="G752" s="397">
        <f t="shared" si="169"/>
        <v>160271</v>
      </c>
      <c r="H752" s="398">
        <f t="shared" si="169"/>
        <v>0</v>
      </c>
      <c r="I752" s="396">
        <f t="shared" si="169"/>
        <v>0</v>
      </c>
      <c r="J752" s="397">
        <f t="shared" si="169"/>
        <v>115398</v>
      </c>
      <c r="K752" s="398">
        <f t="shared" si="169"/>
        <v>0</v>
      </c>
      <c r="L752" s="395">
        <f t="shared" si="169"/>
        <v>115398</v>
      </c>
      <c r="M752" s="12">
        <f t="shared" si="166"/>
        <v>1</v>
      </c>
      <c r="N752" s="73" t="str">
        <f>LEFT(C634,1)</f>
        <v>7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5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62:J563 K392:K395 H392:H395 I549:J556 F25 I25 H53:I57 H75:I75 F75 H25:H27 F103:F104 F23:J24 F479:K480 F498:K501 F522:K523">
      <formula1>999999999999999000</formula1>
    </dataValidation>
    <dataValidation type="whole" operator="lessThan" allowBlank="1" showInputMessage="1" showErrorMessage="1" error="Въвежда се цяло число!" sqref="F532:K534 F394:G395 F494:G496 I494:J496 F549:G556 F389:K390 F400:K401 F407:K408 H168:I168 E168:F168 K168:L168 K23:K27 I85:I88 K85:K89 F85:F88 H517:H520 F520:G520 I520:J520 F525:G525 I525:J525 I376:J376 G377 J377 F378 I378 F476:G476 I476:J476 F562:G563 I394:J395 H587:H590 K587:K5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7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2010</v>
      </c>
      <c r="C152" s="1488">
        <v>5541</v>
      </c>
    </row>
    <row r="153" spans="1:3" ht="15.75">
      <c r="A153" s="1488">
        <v>5545</v>
      </c>
      <c r="B153" s="1500" t="s">
        <v>2011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2012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2001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2013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2014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2015</v>
      </c>
      <c r="B306" s="1509"/>
      <c r="C306" s="1509"/>
    </row>
    <row r="307" spans="1:3" ht="14.25">
      <c r="A307" s="1508" t="s">
        <v>2016</v>
      </c>
      <c r="B307" s="1509" t="s">
        <v>2017</v>
      </c>
      <c r="C307" s="1509" t="s">
        <v>2015</v>
      </c>
    </row>
    <row r="308" spans="1:3" ht="14.25">
      <c r="A308" s="1508" t="s">
        <v>2018</v>
      </c>
      <c r="B308" s="1509" t="s">
        <v>2019</v>
      </c>
      <c r="C308" s="1509" t="s">
        <v>2015</v>
      </c>
    </row>
    <row r="309" spans="1:3" ht="14.25">
      <c r="A309" s="1508" t="s">
        <v>2020</v>
      </c>
      <c r="B309" s="1509" t="s">
        <v>2021</v>
      </c>
      <c r="C309" s="1509" t="s">
        <v>2015</v>
      </c>
    </row>
    <row r="310" spans="1:3" ht="14.25">
      <c r="A310" s="1508" t="s">
        <v>2022</v>
      </c>
      <c r="B310" s="1509" t="s">
        <v>2023</v>
      </c>
      <c r="C310" s="1509" t="s">
        <v>2015</v>
      </c>
    </row>
    <row r="311" spans="1:3" ht="14.25">
      <c r="A311" s="1508" t="s">
        <v>2024</v>
      </c>
      <c r="B311" s="1509" t="s">
        <v>2025</v>
      </c>
      <c r="C311" s="1509" t="s">
        <v>2015</v>
      </c>
    </row>
    <row r="312" spans="1:3" ht="14.25">
      <c r="A312" s="1508" t="s">
        <v>2026</v>
      </c>
      <c r="B312" s="1509" t="s">
        <v>2027</v>
      </c>
      <c r="C312" s="1509" t="s">
        <v>2015</v>
      </c>
    </row>
    <row r="313" spans="1:3" ht="14.25">
      <c r="A313" s="1508" t="s">
        <v>2028</v>
      </c>
      <c r="B313" s="1509" t="s">
        <v>2029</v>
      </c>
      <c r="C313" s="1509" t="s">
        <v>2015</v>
      </c>
    </row>
    <row r="314" spans="1:3" ht="14.25">
      <c r="A314" s="1508" t="s">
        <v>2030</v>
      </c>
      <c r="B314" s="1509" t="s">
        <v>2031</v>
      </c>
      <c r="C314" s="1509" t="s">
        <v>2015</v>
      </c>
    </row>
    <row r="315" spans="1:3" ht="14.25">
      <c r="A315" s="1508" t="s">
        <v>2032</v>
      </c>
      <c r="B315" s="1509" t="s">
        <v>2033</v>
      </c>
      <c r="C315" s="1509" t="s">
        <v>2015</v>
      </c>
    </row>
    <row r="316" spans="1:3" ht="14.25">
      <c r="A316" s="1508" t="s">
        <v>2034</v>
      </c>
      <c r="B316" s="1509" t="s">
        <v>2035</v>
      </c>
      <c r="C316" s="1509" t="s">
        <v>2015</v>
      </c>
    </row>
    <row r="317" spans="1:3" ht="14.25">
      <c r="A317" s="1508" t="s">
        <v>2036</v>
      </c>
      <c r="B317" s="1509" t="s">
        <v>2037</v>
      </c>
      <c r="C317" s="1509" t="s">
        <v>2015</v>
      </c>
    </row>
    <row r="318" spans="1:3" ht="14.25">
      <c r="A318" s="1508" t="s">
        <v>2038</v>
      </c>
      <c r="B318" s="1509" t="s">
        <v>2039</v>
      </c>
      <c r="C318" s="1509" t="s">
        <v>2015</v>
      </c>
    </row>
    <row r="319" spans="1:3" ht="14.25">
      <c r="A319" s="1508" t="s">
        <v>2040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2041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2042</v>
      </c>
      <c r="E378" s="1538"/>
    </row>
    <row r="379" spans="1:5" ht="18">
      <c r="A379" s="1532" t="s">
        <v>1291</v>
      </c>
      <c r="B379" s="1531" t="s">
        <v>2043</v>
      </c>
      <c r="E379" s="1538"/>
    </row>
    <row r="380" spans="1:5" ht="18">
      <c r="A380" s="1532" t="s">
        <v>1292</v>
      </c>
      <c r="B380" s="1533" t="s">
        <v>2044</v>
      </c>
      <c r="E380" s="1538"/>
    </row>
    <row r="381" spans="1:5" ht="18">
      <c r="A381" s="1532" t="s">
        <v>1293</v>
      </c>
      <c r="B381" s="1534" t="s">
        <v>2045</v>
      </c>
      <c r="E381" s="1538"/>
    </row>
    <row r="382" spans="1:5" ht="18">
      <c r="A382" s="1532" t="s">
        <v>1294</v>
      </c>
      <c r="B382" s="1534" t="s">
        <v>2046</v>
      </c>
      <c r="E382" s="1538"/>
    </row>
    <row r="383" spans="1:5" ht="18">
      <c r="A383" s="1532" t="s">
        <v>1295</v>
      </c>
      <c r="B383" s="1534" t="s">
        <v>2047</v>
      </c>
      <c r="E383" s="1538"/>
    </row>
    <row r="384" spans="1:5" ht="18">
      <c r="A384" s="1532" t="s">
        <v>1296</v>
      </c>
      <c r="B384" s="1534" t="s">
        <v>2048</v>
      </c>
      <c r="E384" s="1538"/>
    </row>
    <row r="385" spans="1:5" ht="18">
      <c r="A385" s="1532" t="s">
        <v>1297</v>
      </c>
      <c r="B385" s="1534" t="s">
        <v>2049</v>
      </c>
      <c r="E385" s="1538"/>
    </row>
    <row r="386" spans="1:5" ht="18">
      <c r="A386" s="1532" t="s">
        <v>1298</v>
      </c>
      <c r="B386" s="1535" t="s">
        <v>2050</v>
      </c>
      <c r="E386" s="1538"/>
    </row>
    <row r="387" spans="1:5" ht="18">
      <c r="A387" s="1532" t="s">
        <v>1299</v>
      </c>
      <c r="B387" s="1535" t="s">
        <v>2051</v>
      </c>
      <c r="E387" s="1538"/>
    </row>
    <row r="388" spans="1:5" ht="18">
      <c r="A388" s="1532" t="s">
        <v>1300</v>
      </c>
      <c r="B388" s="1535" t="s">
        <v>2052</v>
      </c>
      <c r="E388" s="1538"/>
    </row>
    <row r="389" spans="1:5" ht="18">
      <c r="A389" s="1532" t="s">
        <v>1301</v>
      </c>
      <c r="B389" s="1535" t="s">
        <v>2053</v>
      </c>
      <c r="E389" s="1538"/>
    </row>
    <row r="390" spans="1:5" ht="18">
      <c r="A390" s="1532" t="s">
        <v>1302</v>
      </c>
      <c r="B390" s="1536" t="s">
        <v>2054</v>
      </c>
      <c r="E390" s="1538"/>
    </row>
    <row r="391" spans="1:5" ht="18">
      <c r="A391" s="1532" t="s">
        <v>1303</v>
      </c>
      <c r="B391" s="1536" t="s">
        <v>2055</v>
      </c>
      <c r="E391" s="1538"/>
    </row>
    <row r="392" spans="1:5" ht="18">
      <c r="A392" s="1532" t="s">
        <v>1304</v>
      </c>
      <c r="B392" s="1535" t="s">
        <v>2056</v>
      </c>
      <c r="E392" s="1538"/>
    </row>
    <row r="393" spans="1:5" ht="18">
      <c r="A393" s="1532" t="s">
        <v>1305</v>
      </c>
      <c r="B393" s="1535" t="s">
        <v>2057</v>
      </c>
      <c r="C393" s="1537" t="s">
        <v>179</v>
      </c>
      <c r="E393" s="1538"/>
    </row>
    <row r="394" spans="1:5" ht="18">
      <c r="A394" s="1532" t="s">
        <v>1306</v>
      </c>
      <c r="B394" s="1534" t="s">
        <v>2058</v>
      </c>
      <c r="C394" s="1537" t="s">
        <v>179</v>
      </c>
      <c r="E394" s="1538"/>
    </row>
    <row r="395" spans="1:5" ht="18">
      <c r="A395" s="1532" t="s">
        <v>1307</v>
      </c>
      <c r="B395" s="1535" t="s">
        <v>2059</v>
      </c>
      <c r="C395" s="1537" t="s">
        <v>179</v>
      </c>
      <c r="E395" s="1538"/>
    </row>
    <row r="396" spans="1:5" ht="18">
      <c r="A396" s="1532" t="s">
        <v>1308</v>
      </c>
      <c r="B396" s="1535" t="s">
        <v>2060</v>
      </c>
      <c r="C396" s="1537" t="s">
        <v>179</v>
      </c>
      <c r="E396" s="1538"/>
    </row>
    <row r="397" spans="1:5" ht="18">
      <c r="A397" s="1532" t="s">
        <v>1309</v>
      </c>
      <c r="B397" s="1535" t="s">
        <v>2061</v>
      </c>
      <c r="C397" s="1537" t="s">
        <v>179</v>
      </c>
      <c r="E397" s="1538"/>
    </row>
    <row r="398" spans="1:5" ht="18">
      <c r="A398" s="1532" t="s">
        <v>1310</v>
      </c>
      <c r="B398" s="1535" t="s">
        <v>2062</v>
      </c>
      <c r="C398" s="1537" t="s">
        <v>179</v>
      </c>
      <c r="E398" s="1538"/>
    </row>
    <row r="399" spans="1:5" ht="18">
      <c r="A399" s="1532" t="s">
        <v>1311</v>
      </c>
      <c r="B399" s="1535" t="s">
        <v>2063</v>
      </c>
      <c r="C399" s="1537" t="s">
        <v>179</v>
      </c>
      <c r="E399" s="1538"/>
    </row>
    <row r="400" spans="1:5" ht="18">
      <c r="A400" s="1532" t="s">
        <v>1312</v>
      </c>
      <c r="B400" s="1535" t="s">
        <v>2064</v>
      </c>
      <c r="C400" s="1537" t="s">
        <v>179</v>
      </c>
      <c r="E400" s="1538"/>
    </row>
    <row r="401" spans="1:5" ht="18">
      <c r="A401" s="1532" t="s">
        <v>1313</v>
      </c>
      <c r="B401" s="1535" t="s">
        <v>2065</v>
      </c>
      <c r="C401" s="1537" t="s">
        <v>179</v>
      </c>
      <c r="E401" s="1538"/>
    </row>
    <row r="402" spans="1:5" ht="18">
      <c r="A402" s="1532" t="s">
        <v>1314</v>
      </c>
      <c r="B402" s="1534" t="s">
        <v>2066</v>
      </c>
      <c r="C402" s="1537" t="s">
        <v>179</v>
      </c>
      <c r="E402" s="1538"/>
    </row>
    <row r="403" spans="1:5" ht="18">
      <c r="A403" s="1532" t="s">
        <v>1315</v>
      </c>
      <c r="B403" s="1535" t="s">
        <v>2067</v>
      </c>
      <c r="C403" s="1537" t="s">
        <v>179</v>
      </c>
      <c r="E403" s="1538"/>
    </row>
    <row r="404" spans="1:5" ht="18">
      <c r="A404" s="1532" t="s">
        <v>1316</v>
      </c>
      <c r="B404" s="1534" t="s">
        <v>2068</v>
      </c>
      <c r="C404" s="1537" t="s">
        <v>179</v>
      </c>
      <c r="E404" s="1538"/>
    </row>
    <row r="405" spans="1:5" ht="18">
      <c r="A405" s="1532" t="s">
        <v>1317</v>
      </c>
      <c r="B405" s="1534" t="s">
        <v>2069</v>
      </c>
      <c r="C405" s="1537" t="s">
        <v>179</v>
      </c>
      <c r="E405" s="1538"/>
    </row>
    <row r="406" spans="1:5" ht="18">
      <c r="A406" s="1532" t="s">
        <v>1318</v>
      </c>
      <c r="B406" s="1534" t="s">
        <v>2070</v>
      </c>
      <c r="C406" s="1537" t="s">
        <v>179</v>
      </c>
      <c r="E406" s="1538"/>
    </row>
    <row r="407" spans="1:5" ht="18">
      <c r="A407" s="1532" t="s">
        <v>1319</v>
      </c>
      <c r="B407" s="1534" t="s">
        <v>2071</v>
      </c>
      <c r="C407" s="1537" t="s">
        <v>179</v>
      </c>
      <c r="E407" s="1538"/>
    </row>
    <row r="408" spans="1:5" ht="18">
      <c r="A408" s="1532" t="s">
        <v>1320</v>
      </c>
      <c r="B408" s="1534" t="s">
        <v>2072</v>
      </c>
      <c r="C408" s="1537" t="s">
        <v>179</v>
      </c>
      <c r="E408" s="1538"/>
    </row>
    <row r="409" spans="1:5" ht="18">
      <c r="A409" s="1532" t="s">
        <v>1321</v>
      </c>
      <c r="B409" s="1534" t="s">
        <v>2073</v>
      </c>
      <c r="C409" s="1537" t="s">
        <v>179</v>
      </c>
      <c r="E409" s="1538"/>
    </row>
    <row r="410" spans="1:5" ht="18">
      <c r="A410" s="1532" t="s">
        <v>1322</v>
      </c>
      <c r="B410" s="1534" t="s">
        <v>2074</v>
      </c>
      <c r="C410" s="1537" t="s">
        <v>179</v>
      </c>
      <c r="E410" s="1538"/>
    </row>
    <row r="411" spans="1:5" ht="18">
      <c r="A411" s="1532" t="s">
        <v>1323</v>
      </c>
      <c r="B411" s="1534" t="s">
        <v>2075</v>
      </c>
      <c r="C411" s="1537" t="s">
        <v>179</v>
      </c>
      <c r="E411" s="1538"/>
    </row>
    <row r="412" spans="1:5" ht="18">
      <c r="A412" s="1532" t="s">
        <v>1324</v>
      </c>
      <c r="B412" s="1539" t="s">
        <v>2076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2077</v>
      </c>
      <c r="C416" s="1537" t="s">
        <v>179</v>
      </c>
      <c r="E416" s="1538"/>
    </row>
    <row r="417" spans="1:5" ht="18">
      <c r="A417" s="1532" t="s">
        <v>1328</v>
      </c>
      <c r="B417" s="1519" t="s">
        <v>2078</v>
      </c>
      <c r="C417" s="1537" t="s">
        <v>179</v>
      </c>
      <c r="E417" s="1538"/>
    </row>
    <row r="418" spans="1:5" ht="18">
      <c r="A418" s="1577" t="s">
        <v>1329</v>
      </c>
      <c r="B418" s="1544" t="s">
        <v>2079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2083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2009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730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733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189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194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195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266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708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214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216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217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218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1647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219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228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229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230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231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1648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1645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1646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241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267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242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243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614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672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673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 2022</cp:lastModifiedBy>
  <cp:lastPrinted>2019-01-10T13:58:54Z</cp:lastPrinted>
  <dcterms:created xsi:type="dcterms:W3CDTF">1997-12-10T11:54:07Z</dcterms:created>
  <dcterms:modified xsi:type="dcterms:W3CDTF">2024-02-19T08:24:13Z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